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checkCompatibility="1" defaultThemeVersion="124226"/>
  <mc:AlternateContent xmlns:mc="http://schemas.openxmlformats.org/markup-compatibility/2006">
    <mc:Choice Requires="x15">
      <x15ac:absPath xmlns:x15ac="http://schemas.microsoft.com/office/spreadsheetml/2010/11/ac" url="https://scotiabank-my.sharepoint.com/personal/hugo_vasquez_scb_com_pe/Documents/Funcionalidades y Certificaciones CSF/Simuladores/"/>
    </mc:Choice>
  </mc:AlternateContent>
  <xr:revisionPtr revIDLastSave="44" documentId="8_{F426FFB4-2970-4C0C-9EA8-246255693447}" xr6:coauthVersionLast="47" xr6:coauthVersionMax="47" xr10:uidLastSave="{D71E3DFE-BDD5-4157-8332-04951B9BA5A8}"/>
  <workbookProtection workbookAlgorithmName="SHA-512" workbookHashValue="7bsBe5u5PPVW3+whPsXZoXttssfiSIegCt1nbcxFb0JQJe+9XbRI0U+kiSa7mHesrIM7dNvHf/YW1C2miKn/8w==" workbookSaltValue="zruEs1Djz2ERxybYGwuJ9g==" workbookSpinCount="100000" lockStructure="1"/>
  <bookViews>
    <workbookView xWindow="-120" yWindow="-120" windowWidth="25440" windowHeight="15390" xr2:uid="{00000000-000D-0000-FFFF-FFFF00000000}"/>
  </bookViews>
  <sheets>
    <sheet name="Simulador TC XL" sheetId="6" r:id="rId1"/>
    <sheet name="Simulador Efectivo LP" sheetId="1" state="hidden" r:id="rId2"/>
  </sheets>
  <externalReferences>
    <externalReference r:id="rId3"/>
  </externalReferences>
  <definedNames>
    <definedName name="A" hidden="1">{#N/A,#N/A,TRUE,"EvalFin";#N/A,#N/A,TRUE,"EvalFin";#N/A,#N/A,TRUE,"EvalFin";#N/A,#N/A,TRUE,"EvalFin"}</definedName>
    <definedName name="asaa" hidden="1">{#N/A,#N/A,TRUE,"EvalFin";#N/A,#N/A,TRUE,"EvalFin";#N/A,#N/A,TRUE,"EvalFin";#N/A,#N/A,TRUE,"EvalFin"}</definedName>
    <definedName name="B" hidden="1">{#N/A,#N/A,TRUE,"EvalFin";#N/A,#N/A,TRUE,"EvalFin";#N/A,#N/A,TRUE,"EvalFin";#N/A,#N/A,TRUE,"EvalFin"}</definedName>
    <definedName name="BSBB" hidden="1">{#N/A,#N/A,TRUE,"EvalFin";#N/A,#N/A,TRUE,"EvalFin";#N/A,#N/A,TRUE,"EvalFin";#N/A,#N/A,TRUE,"EvalFin"}</definedName>
    <definedName name="Ciclos">'Simulador Efectivo LP'!$Z$10:$AA$21</definedName>
    <definedName name="Dias">'Simulador Efectivo LP'!$AA$26:$AA$28</definedName>
    <definedName name="dsf" hidden="1">{#N/A,#N/A,TRUE,"EvalFin";#N/A,#N/A,TRUE,"EvalFin";#N/A,#N/A,TRUE,"EvalFin";#N/A,#N/A,TRUE,"EvalFin"}</definedName>
    <definedName name="ee" hidden="1">{#N/A,#N/A,TRUE,"EvalFin";#N/A,#N/A,TRUE,"EvalFin";#N/A,#N/A,TRUE,"EvalFin";#N/A,#N/A,TRUE,"EvalFin"}</definedName>
    <definedName name="Fact">'Simulador Efectivo LP'!$Z$11:$Z$21</definedName>
    <definedName name="fghjyr" hidden="1">{#N/A,#N/A,TRUE,"EvalFin";#N/A,#N/A,TRUE,"EvalFin";#N/A,#N/A,TRUE,"EvalFin";#N/A,#N/A,TRUE,"EvalFin"}</definedName>
    <definedName name="finall" hidden="1">{#N/A,#N/A,TRUE,"EvalFin";#N/A,#N/A,TRUE,"EvalFin";#N/A,#N/A,TRUE,"EvalFin";#N/A,#N/A,TRUE,"EvalFin"}</definedName>
    <definedName name="g" hidden="1">{#N/A,#N/A,TRUE,"EvalFin";#N/A,#N/A,TRUE,"EvalFin";#N/A,#N/A,TRUE,"EvalFin";#N/A,#N/A,TRUE,"EvalFin"}</definedName>
    <definedName name="gfilyutr" hidden="1">{#N/A,"30",FALSE,"Vencimientos";#N/A,"31",FALSE,"Vencimientos";#N/A,"32",FALSE,"Vencimientos";#N/A,"33",FALSE,"Vencimientos";#N/A,"34",FALSE,"Vencimientos";#N/A,"35",FALSE,"Vencimientos";#N/A,"36",FALSE,"Vencimientos";#N/A,"37",FALSE,"Vencimientos";#N/A,"38",FALSE,"Vencimientos";#N/A,"39",FALSE,"Vencimientos";#N/A,"40",FALSE,"Vencimientos";#N/A,"41",FALSE,"Vencimientos";#N/A,"42",FALSE,"Vencimientos";#N/A,"43",FALSE,"Vencimientos";#N/A,"44",FALSE,"Vencimientos";#N/A,"45",FALSE,"Vencimientos";#N/A,"46",FALSE,"Vencimientos";#N/A,"47",FALSE,"Vencimientos";#N/A,"48",FALSE,"Vencimientos";#N/A,"49",FALSE,"Vencimientos";#N/A,"50",FALSE,"Vencimientos";#N/A,"51",FALSE,"Vencimientos";#N/A,"52",FALSE,"Vencimientos";#N/A,"53",FALSE,"Vencimientos"}</definedName>
    <definedName name="gjh" hidden="1">{#N/A,#N/A,TRUE,"EvalFin";#N/A,#N/A,TRUE,"EvalFin";#N/A,#N/A,TRUE,"EvalFin";#N/A,#N/A,TRUE,"EvalFin"}</definedName>
    <definedName name="molap" hidden="1">{#N/A,#N/A,TRUE,"EvalFin";#N/A,#N/A,TRUE,"EvalFin";#N/A,#N/A,TRUE,"EvalFin";#N/A,#N/A,TRUE,"EvalFin"}</definedName>
    <definedName name="NomTipo">'Simulador Efectivo LP'!$AC$26:$AC$27</definedName>
    <definedName name="ñdfklgj" hidden="1">{#N/A,#N/A,TRUE,"EvalFin";#N/A,#N/A,TRUE,"EvalFin";#N/A,#N/A,TRUE,"EvalFin";#N/A,#N/A,TRUE,"EvalFin"}</definedName>
    <definedName name="oo" hidden="1">{#N/A,#N/A,TRUE,"EvalFin";#N/A,#N/A,TRUE,"EvalFin";#N/A,#N/A,TRUE,"EvalFin";#N/A,#N/A,TRUE,"EvalFin"}</definedName>
    <definedName name="p" hidden="1">{#N/A,#N/A,TRUE,"EvalFin";#N/A,#N/A,TRUE,"EvalFin";#N/A,#N/A,TRUE,"EvalFin";#N/A,#N/A,TRUE,"EvalFin"}</definedName>
    <definedName name="Pagos">'Simulador Efectivo LP'!$AA$10:$AB$21</definedName>
    <definedName name="PCTLP">'Simulador Efectivo LP'!#REF!</definedName>
    <definedName name="PCTs">#REF!</definedName>
    <definedName name="Plazo">'Simulador Efectivo LP'!$B$12:$B$46</definedName>
    <definedName name="Plazos">[1]Datos!$B$58:$B$116</definedName>
    <definedName name="Proyección" hidden="1">{#N/A,#N/A,TRUE,"EvalFin";#N/A,#N/A,TRUE,"EvalFin";#N/A,#N/A,TRUE,"EvalFin";#N/A,#N/A,TRUE,"EvalFin"}</definedName>
    <definedName name="proyectado" hidden="1">{#N/A,#N/A,TRUE,"EvalFin";#N/A,#N/A,TRUE,"EvalFin";#N/A,#N/A,TRUE,"EvalFin";#N/A,#N/A,TRUE,"EvalFin"}</definedName>
    <definedName name="SDMax">'Simulador Efectivo LP'!$U$3</definedName>
    <definedName name="SegDesg">'Simulador Efectivo LP'!$AC$30:$AC$31</definedName>
    <definedName name="Seguro">[1]Datos!$Y$7:$Y$7</definedName>
    <definedName name="Tasas">[1]Datos!$B$3:$C$5</definedName>
    <definedName name="TEACDUBA">[1]Datos!$U$7:$U$21</definedName>
    <definedName name="TEAICUBA">[1]Datos!$S$7:$S$31</definedName>
    <definedName name="TEALP">'Simulador Efectivo LP'!#REF!</definedName>
    <definedName name="TEAs">#REF!</definedName>
    <definedName name="Tipo">'Simulador Efectivo LP'!$AC$26:$AE$27</definedName>
    <definedName name="tumare" hidden="1">{#N/A,#N/A,TRUE,"EvalFin";#N/A,#N/A,TRUE,"EvalFin";#N/A,#N/A,TRUE,"EvalFin";#N/A,#N/A,TRUE,"EvalFin"}</definedName>
    <definedName name="wrn.casca." hidden="1">{#N/A,#N/A,TRUE,"EvalFin";#N/A,#N/A,TRUE,"EvalFin";#N/A,#N/A,TRUE,"EvalFin";#N/A,#N/A,TRUE,"EvalFin"}</definedName>
    <definedName name="wrn.Factores." hidden="1">{#N/A,"30",FALSE,"Vencimientos";#N/A,"31",FALSE,"Vencimientos";#N/A,"32",FALSE,"Vencimientos";#N/A,"33",FALSE,"Vencimientos";#N/A,"34",FALSE,"Vencimientos";#N/A,"35",FALSE,"Vencimientos";#N/A,"36",FALSE,"Vencimientos";#N/A,"37",FALSE,"Vencimientos";#N/A,"38",FALSE,"Vencimientos";#N/A,"39",FALSE,"Vencimientos";#N/A,"40",FALSE,"Vencimientos";#N/A,"41",FALSE,"Vencimientos";#N/A,"42",FALSE,"Vencimientos";#N/A,"43",FALSE,"Vencimientos";#N/A,"44",FALSE,"Vencimientos";#N/A,"45",FALSE,"Vencimientos";#N/A,"46",FALSE,"Vencimientos";#N/A,"47",FALSE,"Vencimientos";#N/A,"48",FALSE,"Vencimientos";#N/A,"49",FALSE,"Vencimientos";#N/A,"50",FALSE,"Vencimientos";#N/A,"51",FALSE,"Vencimientos";#N/A,"52",FALSE,"Vencimientos";#N/A,"53",FALSE,"Vencimiento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6" l="1"/>
  <c r="I13" i="6"/>
  <c r="G15" i="6" l="1"/>
  <c r="S4" i="1" l="1"/>
  <c r="S6" i="1"/>
  <c r="G6" i="1"/>
  <c r="G5" i="1"/>
  <c r="G4" i="1"/>
  <c r="AB11" i="1"/>
  <c r="AB12" i="1"/>
  <c r="AB13" i="1"/>
  <c r="AB14" i="1"/>
  <c r="AB15" i="1"/>
  <c r="AB16" i="1"/>
  <c r="AB17" i="1"/>
  <c r="AB18" i="1"/>
  <c r="AB19" i="1"/>
  <c r="AB20" i="1"/>
  <c r="AB21" i="1"/>
  <c r="S11" i="1" l="1"/>
  <c r="S28" i="1"/>
  <c r="S36" i="1"/>
  <c r="S44" i="1"/>
  <c r="S22" i="1"/>
  <c r="S38" i="1"/>
  <c r="S31" i="1"/>
  <c r="S34" i="1"/>
  <c r="S27" i="1"/>
  <c r="S21" i="1"/>
  <c r="S29" i="1"/>
  <c r="S37" i="1"/>
  <c r="S45" i="1"/>
  <c r="S30" i="1"/>
  <c r="S46" i="1"/>
  <c r="S23" i="1"/>
  <c r="S26" i="1"/>
  <c r="S35" i="1"/>
  <c r="S39" i="1"/>
  <c r="S24" i="1"/>
  <c r="S32" i="1"/>
  <c r="S40" i="1"/>
  <c r="S25" i="1"/>
  <c r="S33" i="1"/>
  <c r="S41" i="1"/>
  <c r="S42" i="1"/>
  <c r="S43" i="1"/>
  <c r="G11" i="1"/>
  <c r="N8" i="6" l="1"/>
  <c r="T6" i="1"/>
  <c r="T10" i="1"/>
  <c r="G29" i="6" l="1"/>
  <c r="R8" i="6"/>
  <c r="G8" i="1"/>
  <c r="C26" i="6" s="1"/>
  <c r="H8" i="1"/>
  <c r="C59" i="1"/>
  <c r="C60" i="1" s="1"/>
  <c r="C61" i="1" s="1"/>
  <c r="P57" i="1"/>
  <c r="C52" i="1"/>
  <c r="C53" i="1" s="1"/>
  <c r="C54" i="1" s="1"/>
  <c r="Y4" i="1"/>
  <c r="Y3" i="1" s="1"/>
  <c r="Y2" i="1" s="1"/>
  <c r="S8" i="1" l="1"/>
  <c r="C11" i="1" l="1"/>
  <c r="M8" i="6" l="1"/>
  <c r="C29" i="6"/>
  <c r="Y11" i="1"/>
  <c r="D11" i="1"/>
  <c r="E11" i="1" s="1"/>
  <c r="F11" i="1" s="1"/>
  <c r="W11" i="1"/>
  <c r="X11" i="1"/>
  <c r="I11" i="1" l="1"/>
  <c r="Y12" i="1"/>
  <c r="Y13" i="1" l="1"/>
  <c r="Y14" i="1" l="1"/>
  <c r="X12" i="1"/>
  <c r="W12" i="1"/>
  <c r="C12" i="1" l="1"/>
  <c r="M9" i="6" s="1"/>
  <c r="W13" i="1"/>
  <c r="X13" i="1"/>
  <c r="Y15" i="1"/>
  <c r="D12" i="1" l="1"/>
  <c r="E12" i="1" s="1"/>
  <c r="F12" i="1" s="1"/>
  <c r="C13" i="1"/>
  <c r="M10" i="6" s="1"/>
  <c r="Y16" i="1"/>
  <c r="X14" i="1"/>
  <c r="W14" i="1"/>
  <c r="D13" i="1" l="1"/>
  <c r="E13" i="1" s="1"/>
  <c r="F13" i="1" s="1"/>
  <c r="Y17" i="1"/>
  <c r="C14" i="1"/>
  <c r="M11" i="6" s="1"/>
  <c r="X15" i="1"/>
  <c r="W15" i="1"/>
  <c r="C15" i="1" l="1"/>
  <c r="M12" i="6" s="1"/>
  <c r="Y18" i="1"/>
  <c r="D14" i="1"/>
  <c r="E14" i="1" s="1"/>
  <c r="X16" i="1"/>
  <c r="W16" i="1"/>
  <c r="D15" i="1" l="1"/>
  <c r="E15" i="1" s="1"/>
  <c r="C16" i="1"/>
  <c r="M13" i="6" s="1"/>
  <c r="F14" i="1"/>
  <c r="Y19" i="1"/>
  <c r="X17" i="1"/>
  <c r="W17" i="1"/>
  <c r="D16" i="1" l="1"/>
  <c r="E16" i="1" s="1"/>
  <c r="C17" i="1"/>
  <c r="M14" i="6" s="1"/>
  <c r="Y20" i="1"/>
  <c r="F15" i="1"/>
  <c r="W18" i="1"/>
  <c r="X18" i="1"/>
  <c r="D17" i="1" l="1"/>
  <c r="E17" i="1" s="1"/>
  <c r="C18" i="1"/>
  <c r="M15" i="6" s="1"/>
  <c r="Y21" i="1"/>
  <c r="F16" i="1"/>
  <c r="W19" i="1"/>
  <c r="X19" i="1"/>
  <c r="C19" i="1" l="1"/>
  <c r="M16" i="6" s="1"/>
  <c r="D18" i="1"/>
  <c r="E18" i="1" s="1"/>
  <c r="Y22" i="1"/>
  <c r="F17" i="1"/>
  <c r="X20" i="1"/>
  <c r="W20" i="1"/>
  <c r="D19" i="1" l="1"/>
  <c r="E19" i="1" s="1"/>
  <c r="C20" i="1"/>
  <c r="M17" i="6" s="1"/>
  <c r="F18" i="1"/>
  <c r="Y23" i="1"/>
  <c r="W21" i="1"/>
  <c r="X21" i="1"/>
  <c r="D20" i="1" l="1"/>
  <c r="E20" i="1" s="1"/>
  <c r="Y24" i="1"/>
  <c r="F19" i="1"/>
  <c r="C21" i="1"/>
  <c r="M18" i="6" s="1"/>
  <c r="X22" i="1"/>
  <c r="W22" i="1"/>
  <c r="C22" i="1" l="1"/>
  <c r="M19" i="6" s="1"/>
  <c r="D21" i="1"/>
  <c r="E21" i="1" s="1"/>
  <c r="F20" i="1"/>
  <c r="Y25" i="1"/>
  <c r="W23" i="1"/>
  <c r="X23" i="1"/>
  <c r="D22" i="1" l="1"/>
  <c r="E22" i="1" s="1"/>
  <c r="C23" i="1"/>
  <c r="M20" i="6" s="1"/>
  <c r="F21" i="1"/>
  <c r="Y26" i="1"/>
  <c r="W24" i="1"/>
  <c r="X24" i="1"/>
  <c r="C24" i="1" l="1"/>
  <c r="M21" i="6" s="1"/>
  <c r="D23" i="1"/>
  <c r="E23" i="1" s="1"/>
  <c r="Y27" i="1"/>
  <c r="F22" i="1"/>
  <c r="X25" i="1"/>
  <c r="W25" i="1"/>
  <c r="D24" i="1" l="1"/>
  <c r="E24" i="1" s="1"/>
  <c r="C25" i="1"/>
  <c r="M22" i="6" s="1"/>
  <c r="F23" i="1"/>
  <c r="Y28" i="1"/>
  <c r="W26" i="1"/>
  <c r="X26" i="1"/>
  <c r="D25" i="1" l="1"/>
  <c r="E25" i="1" s="1"/>
  <c r="C26" i="1"/>
  <c r="M23" i="6" s="1"/>
  <c r="Y29" i="1"/>
  <c r="F24" i="1"/>
  <c r="X27" i="1"/>
  <c r="W27" i="1"/>
  <c r="C27" i="1" l="1"/>
  <c r="M24" i="6" s="1"/>
  <c r="F25" i="1"/>
  <c r="Y30" i="1"/>
  <c r="D26" i="1"/>
  <c r="E26" i="1" s="1"/>
  <c r="X28" i="1"/>
  <c r="W28" i="1"/>
  <c r="C28" i="1" l="1"/>
  <c r="M25" i="6" s="1"/>
  <c r="D27" i="1"/>
  <c r="E27" i="1" s="1"/>
  <c r="F26" i="1"/>
  <c r="Y31" i="1"/>
  <c r="W29" i="1"/>
  <c r="X29" i="1"/>
  <c r="D28" i="1" l="1"/>
  <c r="E28" i="1" s="1"/>
  <c r="C29" i="1"/>
  <c r="M26" i="6" s="1"/>
  <c r="Y32" i="1"/>
  <c r="F27" i="1"/>
  <c r="W30" i="1"/>
  <c r="X30" i="1"/>
  <c r="D29" i="1" l="1"/>
  <c r="E29" i="1" s="1"/>
  <c r="C30" i="1"/>
  <c r="M27" i="6" s="1"/>
  <c r="Y33" i="1"/>
  <c r="F28" i="1"/>
  <c r="X31" i="1"/>
  <c r="W31" i="1"/>
  <c r="D30" i="1" l="1"/>
  <c r="E30" i="1" s="1"/>
  <c r="C31" i="1"/>
  <c r="M28" i="6" s="1"/>
  <c r="Y34" i="1"/>
  <c r="F29" i="1"/>
  <c r="X32" i="1"/>
  <c r="W32" i="1"/>
  <c r="D31" i="1" l="1"/>
  <c r="E31" i="1" s="1"/>
  <c r="C32" i="1"/>
  <c r="M29" i="6" s="1"/>
  <c r="Y35" i="1"/>
  <c r="F30" i="1"/>
  <c r="X33" i="1"/>
  <c r="W33" i="1"/>
  <c r="D32" i="1" l="1"/>
  <c r="E32" i="1" s="1"/>
  <c r="Y36" i="1"/>
  <c r="C33" i="1"/>
  <c r="M30" i="6" s="1"/>
  <c r="F31" i="1"/>
  <c r="X34" i="1"/>
  <c r="W34" i="1"/>
  <c r="D33" i="1" l="1"/>
  <c r="E33" i="1" s="1"/>
  <c r="C34" i="1"/>
  <c r="M31" i="6" s="1"/>
  <c r="Y37" i="1"/>
  <c r="F32" i="1"/>
  <c r="X35" i="1"/>
  <c r="W35" i="1"/>
  <c r="D34" i="1" l="1"/>
  <c r="E34" i="1" s="1"/>
  <c r="C35" i="1"/>
  <c r="M32" i="6" s="1"/>
  <c r="Y38" i="1"/>
  <c r="F33" i="1"/>
  <c r="X36" i="1"/>
  <c r="W36" i="1"/>
  <c r="D35" i="1" l="1"/>
  <c r="E35" i="1" s="1"/>
  <c r="C36" i="1"/>
  <c r="M33" i="6" s="1"/>
  <c r="Y39" i="1"/>
  <c r="F34" i="1"/>
  <c r="W37" i="1"/>
  <c r="X37" i="1"/>
  <c r="D36" i="1" l="1"/>
  <c r="E36" i="1" s="1"/>
  <c r="F35" i="1"/>
  <c r="C37" i="1"/>
  <c r="M34" i="6" s="1"/>
  <c r="Y40" i="1"/>
  <c r="W38" i="1"/>
  <c r="X38" i="1"/>
  <c r="C38" i="1" l="1"/>
  <c r="M35" i="6" s="1"/>
  <c r="Y41" i="1"/>
  <c r="D37" i="1"/>
  <c r="E37" i="1" s="1"/>
  <c r="F36" i="1"/>
  <c r="W39" i="1"/>
  <c r="X39" i="1"/>
  <c r="D38" i="1" l="1"/>
  <c r="E38" i="1" s="1"/>
  <c r="C39" i="1"/>
  <c r="M36" i="6" s="1"/>
  <c r="F37" i="1"/>
  <c r="Y42" i="1"/>
  <c r="W40" i="1"/>
  <c r="X40" i="1"/>
  <c r="D39" i="1" l="1"/>
  <c r="E39" i="1" s="1"/>
  <c r="C40" i="1"/>
  <c r="M37" i="6" s="1"/>
  <c r="Y43" i="1"/>
  <c r="F38" i="1"/>
  <c r="X41" i="1"/>
  <c r="W41" i="1"/>
  <c r="D40" i="1" l="1"/>
  <c r="E40" i="1" s="1"/>
  <c r="Y44" i="1"/>
  <c r="C41" i="1"/>
  <c r="M38" i="6" s="1"/>
  <c r="F39" i="1"/>
  <c r="W42" i="1"/>
  <c r="X42" i="1"/>
  <c r="D41" i="1" l="1"/>
  <c r="E41" i="1" s="1"/>
  <c r="Y45" i="1"/>
  <c r="C42" i="1"/>
  <c r="M39" i="6" s="1"/>
  <c r="F40" i="1"/>
  <c r="W43" i="1"/>
  <c r="X43" i="1"/>
  <c r="D42" i="1" l="1"/>
  <c r="E42" i="1" s="1"/>
  <c r="C43" i="1"/>
  <c r="M40" i="6" s="1"/>
  <c r="Y46" i="1"/>
  <c r="F41" i="1"/>
  <c r="X44" i="1"/>
  <c r="W44" i="1"/>
  <c r="D43" i="1" l="1"/>
  <c r="E43" i="1" s="1"/>
  <c r="C44" i="1"/>
  <c r="M41" i="6" s="1"/>
  <c r="Y47" i="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F42" i="1"/>
  <c r="W45" i="1"/>
  <c r="X45" i="1"/>
  <c r="D44" i="1" l="1"/>
  <c r="E44" i="1" s="1"/>
  <c r="C45" i="1"/>
  <c r="M42" i="6" s="1"/>
  <c r="F43" i="1"/>
  <c r="X46" i="1"/>
  <c r="W46" i="1"/>
  <c r="D45" i="1" l="1"/>
  <c r="E45" i="1" s="1"/>
  <c r="C46" i="1"/>
  <c r="M43" i="6" s="1"/>
  <c r="F44" i="1"/>
  <c r="X47" i="1"/>
  <c r="W47" i="1"/>
  <c r="D46" i="1" l="1"/>
  <c r="D47" i="1" s="1"/>
  <c r="F45" i="1"/>
  <c r="X48" i="1"/>
  <c r="W48" i="1"/>
  <c r="E46" i="1" l="1"/>
  <c r="F46" i="1" s="1"/>
  <c r="F47" i="1" s="1"/>
  <c r="J46" i="1" s="1"/>
  <c r="W49" i="1"/>
  <c r="X49" i="1"/>
  <c r="J32" i="1" l="1"/>
  <c r="M32" i="1" s="1"/>
  <c r="R32" i="1" s="1"/>
  <c r="Q29" i="6" s="1"/>
  <c r="J23" i="1"/>
  <c r="M23" i="1" s="1"/>
  <c r="R23" i="1" s="1"/>
  <c r="Q20" i="6" s="1"/>
  <c r="J29" i="1"/>
  <c r="M29" i="1" s="1"/>
  <c r="R29" i="1" s="1"/>
  <c r="Q26" i="6" s="1"/>
  <c r="J15" i="1"/>
  <c r="M15" i="1" s="1"/>
  <c r="R15" i="1" s="1"/>
  <c r="Q12" i="6" s="1"/>
  <c r="J45" i="1"/>
  <c r="M45" i="1" s="1"/>
  <c r="R45" i="1" s="1"/>
  <c r="Q42" i="6" s="1"/>
  <c r="J38" i="1"/>
  <c r="M38" i="1" s="1"/>
  <c r="R38" i="1" s="1"/>
  <c r="Q35" i="6" s="1"/>
  <c r="J17" i="1"/>
  <c r="M17" i="1" s="1"/>
  <c r="R17" i="1" s="1"/>
  <c r="Q14" i="6" s="1"/>
  <c r="J18" i="1"/>
  <c r="M18" i="1" s="1"/>
  <c r="R18" i="1" s="1"/>
  <c r="Q15" i="6" s="1"/>
  <c r="J12" i="1"/>
  <c r="M12" i="1" s="1"/>
  <c r="R12" i="1" s="1"/>
  <c r="Q9" i="6" s="1"/>
  <c r="J14" i="1"/>
  <c r="M14" i="1" s="1"/>
  <c r="R14" i="1" s="1"/>
  <c r="Q11" i="6" s="1"/>
  <c r="J43" i="1"/>
  <c r="M43" i="1" s="1"/>
  <c r="R43" i="1" s="1"/>
  <c r="Q40" i="6" s="1"/>
  <c r="J42" i="1"/>
  <c r="M42" i="1" s="1"/>
  <c r="R42" i="1" s="1"/>
  <c r="Q39" i="6" s="1"/>
  <c r="J28" i="1"/>
  <c r="M28" i="1" s="1"/>
  <c r="R28" i="1" s="1"/>
  <c r="Q25" i="6" s="1"/>
  <c r="J22" i="1"/>
  <c r="M22" i="1" s="1"/>
  <c r="R22" i="1" s="1"/>
  <c r="Q19" i="6" s="1"/>
  <c r="J44" i="1"/>
  <c r="M44" i="1" s="1"/>
  <c r="R44" i="1" s="1"/>
  <c r="Q41" i="6" s="1"/>
  <c r="J30" i="1"/>
  <c r="M30" i="1" s="1"/>
  <c r="R30" i="1" s="1"/>
  <c r="Q27" i="6" s="1"/>
  <c r="J26" i="1"/>
  <c r="M26" i="1" s="1"/>
  <c r="R26" i="1" s="1"/>
  <c r="Q23" i="6" s="1"/>
  <c r="J39" i="1"/>
  <c r="M39" i="1" s="1"/>
  <c r="R39" i="1" s="1"/>
  <c r="Q36" i="6" s="1"/>
  <c r="J41" i="1"/>
  <c r="M41" i="1" s="1"/>
  <c r="R41" i="1" s="1"/>
  <c r="Q38" i="6" s="1"/>
  <c r="J11" i="1"/>
  <c r="M11" i="1" s="1"/>
  <c r="J27" i="1"/>
  <c r="M27" i="1" s="1"/>
  <c r="R27" i="1" s="1"/>
  <c r="Q24" i="6" s="1"/>
  <c r="J16" i="1"/>
  <c r="M16" i="1" s="1"/>
  <c r="R16" i="1" s="1"/>
  <c r="Q13" i="6" s="1"/>
  <c r="J34" i="1"/>
  <c r="M34" i="1" s="1"/>
  <c r="R34" i="1" s="1"/>
  <c r="Q31" i="6" s="1"/>
  <c r="J31" i="1"/>
  <c r="M31" i="1" s="1"/>
  <c r="R31" i="1" s="1"/>
  <c r="Q28" i="6" s="1"/>
  <c r="J19" i="1"/>
  <c r="M19" i="1" s="1"/>
  <c r="R19" i="1" s="1"/>
  <c r="Q16" i="6" s="1"/>
  <c r="J21" i="1"/>
  <c r="M21" i="1" s="1"/>
  <c r="R21" i="1" s="1"/>
  <c r="Q18" i="6" s="1"/>
  <c r="J24" i="1"/>
  <c r="M24" i="1" s="1"/>
  <c r="R24" i="1" s="1"/>
  <c r="Q21" i="6" s="1"/>
  <c r="J20" i="1"/>
  <c r="M20" i="1" s="1"/>
  <c r="R20" i="1" s="1"/>
  <c r="Q17" i="6" s="1"/>
  <c r="J40" i="1"/>
  <c r="M40" i="1" s="1"/>
  <c r="R40" i="1" s="1"/>
  <c r="Q37" i="6" s="1"/>
  <c r="J37" i="1"/>
  <c r="M37" i="1" s="1"/>
  <c r="R37" i="1" s="1"/>
  <c r="Q34" i="6" s="1"/>
  <c r="J13" i="1"/>
  <c r="M13" i="1" s="1"/>
  <c r="R13" i="1" s="1"/>
  <c r="Q10" i="6" s="1"/>
  <c r="J25" i="1"/>
  <c r="M25" i="1" s="1"/>
  <c r="R25" i="1" s="1"/>
  <c r="Q22" i="6" s="1"/>
  <c r="J35" i="1"/>
  <c r="M35" i="1" s="1"/>
  <c r="R35" i="1" s="1"/>
  <c r="Q32" i="6" s="1"/>
  <c r="J36" i="1"/>
  <c r="M36" i="1" s="1"/>
  <c r="R36" i="1" s="1"/>
  <c r="Q33" i="6" s="1"/>
  <c r="J33" i="1"/>
  <c r="M33" i="1" s="1"/>
  <c r="R33" i="1" s="1"/>
  <c r="Q30" i="6" s="1"/>
  <c r="M46" i="1"/>
  <c r="R46" i="1" s="1"/>
  <c r="Q43" i="6" s="1"/>
  <c r="W50" i="1"/>
  <c r="X50" i="1"/>
  <c r="N11" i="1" l="1"/>
  <c r="R11" i="1"/>
  <c r="H11" i="1"/>
  <c r="M47" i="1"/>
  <c r="J47" i="1"/>
  <c r="X51" i="1"/>
  <c r="W51" i="1"/>
  <c r="C23" i="6" l="1"/>
  <c r="Q8" i="6"/>
  <c r="Q44" i="6" s="1"/>
  <c r="T11" i="1"/>
  <c r="P11" i="1"/>
  <c r="O8" i="6" s="1"/>
  <c r="K11" i="1"/>
  <c r="G12" i="1" s="1"/>
  <c r="S12" i="1" s="1"/>
  <c r="R47" i="1"/>
  <c r="W52" i="1"/>
  <c r="X52" i="1"/>
  <c r="S8" i="6" l="1"/>
  <c r="R9" i="6"/>
  <c r="N9" i="6"/>
  <c r="G23" i="6"/>
  <c r="Q11" i="1"/>
  <c r="P8" i="6" s="1"/>
  <c r="W53" i="1"/>
  <c r="X53" i="1"/>
  <c r="T12" i="1" l="1"/>
  <c r="W54" i="1"/>
  <c r="X54" i="1"/>
  <c r="S9" i="6" l="1"/>
  <c r="W55" i="1"/>
  <c r="X55" i="1"/>
  <c r="W56" i="1" l="1"/>
  <c r="X56" i="1"/>
  <c r="X57" i="1" l="1"/>
  <c r="W57" i="1"/>
  <c r="W58" i="1" l="1"/>
  <c r="X58" i="1"/>
  <c r="X59" i="1" l="1"/>
  <c r="W59" i="1"/>
  <c r="W60" i="1" l="1"/>
  <c r="X60" i="1"/>
  <c r="W61" i="1" l="1"/>
  <c r="X61" i="1"/>
  <c r="X62" i="1" l="1"/>
  <c r="W62" i="1"/>
  <c r="X63" i="1" l="1"/>
  <c r="W63" i="1"/>
  <c r="X64" i="1" l="1"/>
  <c r="W64" i="1"/>
  <c r="W65" i="1" l="1"/>
  <c r="X65" i="1"/>
  <c r="X66" i="1" l="1"/>
  <c r="W66" i="1"/>
  <c r="X67" i="1" l="1"/>
  <c r="W67" i="1"/>
  <c r="X68" i="1" l="1"/>
  <c r="W68" i="1"/>
  <c r="W69" i="1" l="1"/>
  <c r="X69" i="1"/>
  <c r="W70" i="1" l="1"/>
  <c r="X70" i="1"/>
  <c r="X71" i="1" l="1"/>
  <c r="W71" i="1"/>
  <c r="X72" i="1" l="1"/>
  <c r="W72" i="1"/>
  <c r="W73" i="1" l="1"/>
  <c r="X73" i="1"/>
  <c r="X74" i="1" l="1"/>
  <c r="W74" i="1"/>
  <c r="W75" i="1" l="1"/>
  <c r="X75" i="1"/>
  <c r="W76" i="1" l="1"/>
  <c r="X76" i="1"/>
  <c r="W77" i="1" l="1"/>
  <c r="X77" i="1"/>
  <c r="W78" i="1" l="1"/>
  <c r="X78" i="1"/>
  <c r="X79" i="1" l="1"/>
  <c r="W79" i="1"/>
  <c r="X80" i="1" l="1"/>
  <c r="W80" i="1"/>
  <c r="X81" i="1" l="1"/>
  <c r="W81" i="1"/>
  <c r="X82" i="1" l="1"/>
  <c r="W82" i="1"/>
  <c r="X83" i="1" l="1"/>
  <c r="W83" i="1"/>
  <c r="X84" i="1" l="1"/>
  <c r="W84" i="1"/>
  <c r="X85" i="1" l="1"/>
  <c r="W85" i="1"/>
  <c r="W86" i="1" l="1"/>
  <c r="X86" i="1"/>
  <c r="X87" i="1" l="1"/>
  <c r="W87" i="1"/>
  <c r="X88" i="1" l="1"/>
  <c r="W88" i="1"/>
  <c r="W89" i="1" l="1"/>
  <c r="X89" i="1"/>
  <c r="W90" i="1" l="1"/>
  <c r="X90" i="1"/>
  <c r="W91" i="1" l="1"/>
  <c r="X91" i="1"/>
  <c r="W92" i="1" l="1"/>
  <c r="X92" i="1"/>
  <c r="W93" i="1" l="1"/>
  <c r="X93" i="1"/>
  <c r="I12" i="1"/>
  <c r="H12" i="1" s="1"/>
  <c r="P12" i="1" s="1"/>
  <c r="O9" i="6" s="1"/>
  <c r="N12" i="1" l="1"/>
  <c r="K12" i="1"/>
  <c r="G13" i="1" s="1"/>
  <c r="S13" i="1" s="1"/>
  <c r="R10" i="6" l="1"/>
  <c r="N10" i="6"/>
  <c r="I13" i="1"/>
  <c r="Q12" i="1"/>
  <c r="P9" i="6" s="1"/>
  <c r="T13" i="1" l="1"/>
  <c r="N13" i="1"/>
  <c r="H13" i="1"/>
  <c r="S10" i="6" l="1"/>
  <c r="P13" i="1"/>
  <c r="O10" i="6" s="1"/>
  <c r="K13" i="1"/>
  <c r="G14" i="1" s="1"/>
  <c r="S14" i="1" s="1"/>
  <c r="R11" i="6" l="1"/>
  <c r="N11" i="6"/>
  <c r="Q13" i="1"/>
  <c r="P10" i="6" s="1"/>
  <c r="T14" i="1" l="1"/>
  <c r="S11" i="6" l="1"/>
  <c r="I14" i="1"/>
  <c r="H14" i="1" s="1"/>
  <c r="N14" i="1" l="1"/>
  <c r="P14" i="1"/>
  <c r="O11" i="6" s="1"/>
  <c r="K14" i="1"/>
  <c r="G15" i="1" s="1"/>
  <c r="S15" i="1" s="1"/>
  <c r="R12" i="6" l="1"/>
  <c r="N12" i="6"/>
  <c r="I15" i="1"/>
  <c r="Q14" i="1"/>
  <c r="P11" i="6" s="1"/>
  <c r="N15" i="1" l="1"/>
  <c r="H15" i="1"/>
  <c r="T15" i="1"/>
  <c r="S12" i="6" l="1"/>
  <c r="P15" i="1"/>
  <c r="O12" i="6" s="1"/>
  <c r="K15" i="1"/>
  <c r="G16" i="1" s="1"/>
  <c r="S16" i="1" s="1"/>
  <c r="R13" i="6" l="1"/>
  <c r="N13" i="6"/>
  <c r="I16" i="1"/>
  <c r="Q15" i="1"/>
  <c r="P12" i="6" s="1"/>
  <c r="N16" i="1" l="1"/>
  <c r="H16" i="1"/>
  <c r="T16" i="1"/>
  <c r="S13" i="6" s="1"/>
  <c r="P16" i="1" l="1"/>
  <c r="O13" i="6" s="1"/>
  <c r="K16" i="1"/>
  <c r="G17" i="1" s="1"/>
  <c r="S17" i="1" s="1"/>
  <c r="R14" i="6" l="1"/>
  <c r="N14" i="6"/>
  <c r="I17" i="1"/>
  <c r="Q16" i="1"/>
  <c r="P13" i="6" s="1"/>
  <c r="N17" i="1" l="1"/>
  <c r="H17" i="1"/>
  <c r="T17" i="1"/>
  <c r="S14" i="6" s="1"/>
  <c r="P17" i="1" l="1"/>
  <c r="O14" i="6" s="1"/>
  <c r="K17" i="1"/>
  <c r="G18" i="1" s="1"/>
  <c r="S18" i="1" s="1"/>
  <c r="R15" i="6" l="1"/>
  <c r="N15" i="6"/>
  <c r="Q17" i="1"/>
  <c r="P14" i="6" s="1"/>
  <c r="I18" i="1"/>
  <c r="H18" i="1" l="1"/>
  <c r="N18" i="1"/>
  <c r="T18" i="1"/>
  <c r="S15" i="6" s="1"/>
  <c r="P18" i="1" l="1"/>
  <c r="O15" i="6" s="1"/>
  <c r="K18" i="1"/>
  <c r="G19" i="1" s="1"/>
  <c r="S19" i="1" s="1"/>
  <c r="R16" i="6" l="1"/>
  <c r="N16" i="6"/>
  <c r="Q18" i="1"/>
  <c r="P15" i="6" s="1"/>
  <c r="I19" i="1"/>
  <c r="N19" i="1" l="1"/>
  <c r="H19" i="1"/>
  <c r="T19" i="1"/>
  <c r="S16" i="6" s="1"/>
  <c r="P19" i="1" l="1"/>
  <c r="O16" i="6" s="1"/>
  <c r="K19" i="1"/>
  <c r="G20" i="1" s="1"/>
  <c r="S20" i="1" s="1"/>
  <c r="R17" i="6" l="1"/>
  <c r="N17" i="6"/>
  <c r="Q19" i="1"/>
  <c r="P16" i="6" s="1"/>
  <c r="T20" i="1" l="1"/>
  <c r="S17" i="6" s="1"/>
  <c r="H20" i="1"/>
  <c r="I20" i="1" s="1"/>
  <c r="N20" i="1" s="1"/>
  <c r="P20" i="1" l="1"/>
  <c r="O17" i="6" s="1"/>
  <c r="K20" i="1"/>
  <c r="G21" i="1" s="1"/>
  <c r="R18" i="6" l="1"/>
  <c r="N18" i="6"/>
  <c r="I21" i="1"/>
  <c r="Q20" i="1"/>
  <c r="P17" i="6" s="1"/>
  <c r="H21" i="1" l="1"/>
  <c r="N21" i="1"/>
  <c r="T21" i="1"/>
  <c r="S18" i="6" s="1"/>
  <c r="P21" i="1" l="1"/>
  <c r="O18" i="6" s="1"/>
  <c r="K21" i="1"/>
  <c r="G22" i="1" s="1"/>
  <c r="R19" i="6" l="1"/>
  <c r="N19" i="6"/>
  <c r="I22" i="1"/>
  <c r="Q21" i="1"/>
  <c r="P18" i="6" s="1"/>
  <c r="N22" i="1" l="1"/>
  <c r="H22" i="1"/>
  <c r="T22" i="1"/>
  <c r="S19" i="6" s="1"/>
  <c r="P22" i="1" l="1"/>
  <c r="O19" i="6" s="1"/>
  <c r="K22" i="1"/>
  <c r="G23" i="1" s="1"/>
  <c r="R20" i="6" l="1"/>
  <c r="N20" i="6"/>
  <c r="I23" i="1"/>
  <c r="Q22" i="1"/>
  <c r="P19" i="6" s="1"/>
  <c r="N23" i="1" l="1"/>
  <c r="H23" i="1"/>
  <c r="T23" i="1"/>
  <c r="S20" i="6" s="1"/>
  <c r="P23" i="1" l="1"/>
  <c r="O20" i="6" s="1"/>
  <c r="K23" i="1"/>
  <c r="G24" i="1" s="1"/>
  <c r="R21" i="6" l="1"/>
  <c r="N21" i="6"/>
  <c r="I24" i="1"/>
  <c r="Q23" i="1"/>
  <c r="P20" i="6" s="1"/>
  <c r="T24" i="1" l="1"/>
  <c r="S21" i="6" s="1"/>
  <c r="H24" i="1"/>
  <c r="N24" i="1"/>
  <c r="P24" i="1" l="1"/>
  <c r="O21" i="6" s="1"/>
  <c r="K24" i="1"/>
  <c r="G25" i="1" s="1"/>
  <c r="R22" i="6" l="1"/>
  <c r="N22" i="6"/>
  <c r="I25" i="1"/>
  <c r="Q24" i="1"/>
  <c r="P21" i="6" s="1"/>
  <c r="N25" i="1" l="1"/>
  <c r="H25" i="1"/>
  <c r="T25" i="1"/>
  <c r="S22" i="6" s="1"/>
  <c r="P25" i="1" l="1"/>
  <c r="O22" i="6" s="1"/>
  <c r="K25" i="1"/>
  <c r="G26" i="1" s="1"/>
  <c r="R23" i="6" l="1"/>
  <c r="N23" i="6"/>
  <c r="I26" i="1"/>
  <c r="Q25" i="1"/>
  <c r="P22" i="6" s="1"/>
  <c r="T26" i="1" l="1"/>
  <c r="S23" i="6" s="1"/>
  <c r="N26" i="1"/>
  <c r="H26" i="1"/>
  <c r="P26" i="1" l="1"/>
  <c r="O23" i="6" s="1"/>
  <c r="K26" i="1"/>
  <c r="G27" i="1" s="1"/>
  <c r="R24" i="6" l="1"/>
  <c r="N24" i="6"/>
  <c r="I27" i="1"/>
  <c r="Q26" i="1"/>
  <c r="P23" i="6" s="1"/>
  <c r="H27" i="1" l="1"/>
  <c r="N27" i="1"/>
  <c r="T27" i="1"/>
  <c r="S24" i="6" s="1"/>
  <c r="P27" i="1" l="1"/>
  <c r="O24" i="6" s="1"/>
  <c r="K27" i="1"/>
  <c r="G28" i="1" s="1"/>
  <c r="R25" i="6" l="1"/>
  <c r="N25" i="6"/>
  <c r="I28" i="1"/>
  <c r="Q27" i="1"/>
  <c r="P24" i="6" s="1"/>
  <c r="N28" i="1" l="1"/>
  <c r="H28" i="1"/>
  <c r="T28" i="1"/>
  <c r="S25" i="6" s="1"/>
  <c r="P28" i="1" l="1"/>
  <c r="O25" i="6" s="1"/>
  <c r="K28" i="1"/>
  <c r="G29" i="1" s="1"/>
  <c r="R26" i="6" l="1"/>
  <c r="N26" i="6"/>
  <c r="I29" i="1"/>
  <c r="Q28" i="1"/>
  <c r="P25" i="6" s="1"/>
  <c r="N29" i="1" l="1"/>
  <c r="H29" i="1"/>
  <c r="T29" i="1"/>
  <c r="S26" i="6" s="1"/>
  <c r="P29" i="1" l="1"/>
  <c r="O26" i="6" s="1"/>
  <c r="K29" i="1"/>
  <c r="G30" i="1" s="1"/>
  <c r="R27" i="6" l="1"/>
  <c r="N27" i="6"/>
  <c r="I30" i="1"/>
  <c r="Q29" i="1"/>
  <c r="P26" i="6" s="1"/>
  <c r="H30" i="1" l="1"/>
  <c r="N30" i="1"/>
  <c r="T30" i="1"/>
  <c r="S27" i="6" s="1"/>
  <c r="P30" i="1" l="1"/>
  <c r="O27" i="6" s="1"/>
  <c r="K30" i="1"/>
  <c r="G31" i="1" s="1"/>
  <c r="R28" i="6" l="1"/>
  <c r="N28" i="6"/>
  <c r="I31" i="1"/>
  <c r="Q30" i="1"/>
  <c r="P27" i="6" s="1"/>
  <c r="N31" i="1" l="1"/>
  <c r="H31" i="1"/>
  <c r="T31" i="1"/>
  <c r="S28" i="6" s="1"/>
  <c r="P31" i="1" l="1"/>
  <c r="O28" i="6" s="1"/>
  <c r="K31" i="1"/>
  <c r="G32" i="1" s="1"/>
  <c r="R29" i="6" l="1"/>
  <c r="N29" i="6"/>
  <c r="I32" i="1"/>
  <c r="Q31" i="1"/>
  <c r="P28" i="6" s="1"/>
  <c r="T32" i="1" l="1"/>
  <c r="S29" i="6" s="1"/>
  <c r="N32" i="1"/>
  <c r="H32" i="1"/>
  <c r="P32" i="1" l="1"/>
  <c r="O29" i="6" s="1"/>
  <c r="K32" i="1"/>
  <c r="G33" i="1" s="1"/>
  <c r="R30" i="6" l="1"/>
  <c r="N30" i="6"/>
  <c r="I33" i="1"/>
  <c r="Q32" i="1"/>
  <c r="P29" i="6" s="1"/>
  <c r="N33" i="1" l="1"/>
  <c r="H33" i="1"/>
  <c r="T33" i="1"/>
  <c r="S30" i="6" s="1"/>
  <c r="P33" i="1" l="1"/>
  <c r="O30" i="6" s="1"/>
  <c r="K33" i="1"/>
  <c r="G34" i="1" s="1"/>
  <c r="R31" i="6" l="1"/>
  <c r="N31" i="6"/>
  <c r="I34" i="1"/>
  <c r="Q33" i="1"/>
  <c r="P30" i="6" s="1"/>
  <c r="H34" i="1" l="1"/>
  <c r="N34" i="1"/>
  <c r="T34" i="1"/>
  <c r="S31" i="6" s="1"/>
  <c r="P34" i="1" l="1"/>
  <c r="O31" i="6" s="1"/>
  <c r="K34" i="1"/>
  <c r="G35" i="1" s="1"/>
  <c r="R32" i="6" l="1"/>
  <c r="N32" i="6"/>
  <c r="I35" i="1"/>
  <c r="Q34" i="1"/>
  <c r="P31" i="6" s="1"/>
  <c r="T35" i="1" l="1"/>
  <c r="S32" i="6" s="1"/>
  <c r="N35" i="1"/>
  <c r="H35" i="1"/>
  <c r="P35" i="1" l="1"/>
  <c r="O32" i="6" s="1"/>
  <c r="K35" i="1"/>
  <c r="G36" i="1" s="1"/>
  <c r="R33" i="6" l="1"/>
  <c r="N33" i="6"/>
  <c r="I36" i="1"/>
  <c r="Q35" i="1"/>
  <c r="P32" i="6" s="1"/>
  <c r="N36" i="1" l="1"/>
  <c r="H36" i="1"/>
  <c r="T36" i="1"/>
  <c r="S33" i="6" s="1"/>
  <c r="P36" i="1" l="1"/>
  <c r="O33" i="6" s="1"/>
  <c r="K36" i="1"/>
  <c r="G37" i="1" s="1"/>
  <c r="R34" i="6" l="1"/>
  <c r="N34" i="6"/>
  <c r="I37" i="1"/>
  <c r="Q36" i="1"/>
  <c r="P33" i="6" s="1"/>
  <c r="T37" i="1" l="1"/>
  <c r="S34" i="6" s="1"/>
  <c r="H37" i="1"/>
  <c r="N37" i="1"/>
  <c r="P37" i="1" l="1"/>
  <c r="O34" i="6" s="1"/>
  <c r="K37" i="1"/>
  <c r="G38" i="1" s="1"/>
  <c r="R35" i="6" l="1"/>
  <c r="N35" i="6"/>
  <c r="I38" i="1"/>
  <c r="Q37" i="1"/>
  <c r="P34" i="6" s="1"/>
  <c r="T38" i="1" l="1"/>
  <c r="S35" i="6" s="1"/>
  <c r="H38" i="1"/>
  <c r="N38" i="1"/>
  <c r="P38" i="1" l="1"/>
  <c r="O35" i="6" s="1"/>
  <c r="K38" i="1"/>
  <c r="G39" i="1" s="1"/>
  <c r="R36" i="6" l="1"/>
  <c r="N36" i="6"/>
  <c r="I39" i="1"/>
  <c r="Q38" i="1"/>
  <c r="P35" i="6" s="1"/>
  <c r="T39" i="1" l="1"/>
  <c r="S36" i="6" s="1"/>
  <c r="N39" i="1"/>
  <c r="H39" i="1"/>
  <c r="P39" i="1" l="1"/>
  <c r="O36" i="6" s="1"/>
  <c r="K39" i="1"/>
  <c r="G40" i="1" s="1"/>
  <c r="R37" i="6" l="1"/>
  <c r="N37" i="6"/>
  <c r="I40" i="1"/>
  <c r="Q39" i="1"/>
  <c r="P36" i="6" s="1"/>
  <c r="N40" i="1" l="1"/>
  <c r="H40" i="1"/>
  <c r="T40" i="1"/>
  <c r="S37" i="6" s="1"/>
  <c r="P40" i="1" l="1"/>
  <c r="O37" i="6" s="1"/>
  <c r="K40" i="1"/>
  <c r="G41" i="1" s="1"/>
  <c r="R38" i="6" l="1"/>
  <c r="N38" i="6"/>
  <c r="I41" i="1"/>
  <c r="Q40" i="1"/>
  <c r="P37" i="6" s="1"/>
  <c r="T41" i="1" l="1"/>
  <c r="S38" i="6" s="1"/>
  <c r="H41" i="1"/>
  <c r="N41" i="1"/>
  <c r="P41" i="1" l="1"/>
  <c r="O38" i="6" s="1"/>
  <c r="K41" i="1"/>
  <c r="G42" i="1" s="1"/>
  <c r="R39" i="6" l="1"/>
  <c r="N39" i="6"/>
  <c r="I42" i="1"/>
  <c r="Q41" i="1"/>
  <c r="P38" i="6" s="1"/>
  <c r="N42" i="1" l="1"/>
  <c r="H42" i="1"/>
  <c r="T42" i="1"/>
  <c r="S39" i="6" s="1"/>
  <c r="P42" i="1" l="1"/>
  <c r="O39" i="6" s="1"/>
  <c r="K42" i="1"/>
  <c r="G43" i="1" s="1"/>
  <c r="R40" i="6" l="1"/>
  <c r="N40" i="6"/>
  <c r="I43" i="1"/>
  <c r="Q42" i="1"/>
  <c r="P39" i="6" s="1"/>
  <c r="T43" i="1" l="1"/>
  <c r="S40" i="6" s="1"/>
  <c r="H43" i="1"/>
  <c r="N43" i="1"/>
  <c r="P43" i="1" l="1"/>
  <c r="O40" i="6" s="1"/>
  <c r="K43" i="1"/>
  <c r="G44" i="1" s="1"/>
  <c r="R41" i="6" l="1"/>
  <c r="N41" i="6"/>
  <c r="I44" i="1"/>
  <c r="Q43" i="1"/>
  <c r="P40" i="6" s="1"/>
  <c r="N44" i="1" l="1"/>
  <c r="H44" i="1"/>
  <c r="T44" i="1"/>
  <c r="S41" i="6" s="1"/>
  <c r="P44" i="1" l="1"/>
  <c r="O41" i="6" s="1"/>
  <c r="K44" i="1"/>
  <c r="G45" i="1" s="1"/>
  <c r="R42" i="6" l="1"/>
  <c r="N42" i="6"/>
  <c r="I45" i="1"/>
  <c r="Q44" i="1"/>
  <c r="P41" i="6" s="1"/>
  <c r="T45" i="1" l="1"/>
  <c r="S42" i="6" s="1"/>
  <c r="N45" i="1"/>
  <c r="H45" i="1"/>
  <c r="P45" i="1" l="1"/>
  <c r="O42" i="6" s="1"/>
  <c r="K45" i="1"/>
  <c r="G46" i="1" s="1"/>
  <c r="R43" i="6" l="1"/>
  <c r="R44" i="6" s="1"/>
  <c r="N43" i="6"/>
  <c r="H46" i="1"/>
  <c r="K46" i="1" s="1"/>
  <c r="Q45" i="1"/>
  <c r="P42" i="6" s="1"/>
  <c r="I46" i="1" l="1"/>
  <c r="P46" i="1"/>
  <c r="O43" i="6" s="1"/>
  <c r="O44" i="6" s="1"/>
  <c r="H47" i="1"/>
  <c r="T46" i="1"/>
  <c r="S47" i="1"/>
  <c r="S43" i="6" l="1"/>
  <c r="S44" i="6" s="1"/>
  <c r="S7" i="1"/>
  <c r="G26" i="6" s="1"/>
  <c r="T47" i="1"/>
  <c r="Q46" i="1"/>
  <c r="P43" i="6" s="1"/>
  <c r="P44" i="6" s="1"/>
  <c r="P47" i="1"/>
  <c r="N46" i="1"/>
  <c r="N47" i="1" s="1"/>
  <c r="I47" i="1"/>
  <c r="Q47" i="1" l="1"/>
</calcChain>
</file>

<file path=xl/sharedStrings.xml><?xml version="1.0" encoding="utf-8"?>
<sst xmlns="http://schemas.openxmlformats.org/spreadsheetml/2006/main" count="96" uniqueCount="64">
  <si>
    <t>DATOS</t>
  </si>
  <si>
    <t>TEM</t>
  </si>
  <si>
    <t>Plazo</t>
  </si>
  <si>
    <t>TEA</t>
  </si>
  <si>
    <t>TNA</t>
  </si>
  <si>
    <t>TED</t>
  </si>
  <si>
    <t>Primer vencimiento</t>
  </si>
  <si>
    <t>CRONOGRAMA</t>
  </si>
  <si>
    <t>Mes</t>
  </si>
  <si>
    <t>Vencim.</t>
  </si>
  <si>
    <t>Días</t>
  </si>
  <si>
    <t>Días Acum</t>
  </si>
  <si>
    <t>FAS</t>
  </si>
  <si>
    <t>Amortización</t>
  </si>
  <si>
    <t>Interés</t>
  </si>
  <si>
    <t>Cuota</t>
  </si>
  <si>
    <t>Isocuota</t>
  </si>
  <si>
    <t>Ajuste</t>
  </si>
  <si>
    <t>Tasas de interés: Año 360 días</t>
  </si>
  <si>
    <t>TEM  =&gt;</t>
  </si>
  <si>
    <t>Tasa Efectiva Mensual</t>
  </si>
  <si>
    <t>Tasa Efectiva Anual</t>
  </si>
  <si>
    <t>Tasa Efectiva Diaria</t>
  </si>
  <si>
    <t>Tasa Nominal Anual</t>
  </si>
  <si>
    <t xml:space="preserve"> </t>
  </si>
  <si>
    <t>TNA  =&gt;</t>
  </si>
  <si>
    <t>Método para el cálculo de cuotas - CSF</t>
  </si>
  <si>
    <t>Cap. Cuota</t>
  </si>
  <si>
    <t>TCEA</t>
  </si>
  <si>
    <t>Seguro de Desgravamen</t>
  </si>
  <si>
    <t>Fecha de Facturación</t>
  </si>
  <si>
    <t>Días de Pago</t>
  </si>
  <si>
    <t>Ciclo</t>
  </si>
  <si>
    <t>L30</t>
  </si>
  <si>
    <t>PCT</t>
  </si>
  <si>
    <t>Capital Inicial</t>
  </si>
  <si>
    <t>Cuota Mensual</t>
  </si>
  <si>
    <t>Importe desembolsado</t>
  </si>
  <si>
    <t>Capital Final</t>
  </si>
  <si>
    <t>Fecha de Desembolso</t>
  </si>
  <si>
    <t>Días de gracia</t>
  </si>
  <si>
    <t>Seg. Desgravamen</t>
  </si>
  <si>
    <t>Máximo SD</t>
  </si>
  <si>
    <t>Simulador de Tarjeta de Crédito ExtraLínea</t>
  </si>
  <si>
    <t>Importe a desembolsar</t>
  </si>
  <si>
    <t>:</t>
  </si>
  <si>
    <t>Tasa de Costo Efectiva Anual (TCEA)</t>
  </si>
  <si>
    <t>Primer Vencimiento</t>
  </si>
  <si>
    <t>Seguro Desgravamen</t>
  </si>
  <si>
    <t>Primera Facturación</t>
  </si>
  <si>
    <r>
      <t>Tasa Efectiva Anual (TEA)</t>
    </r>
    <r>
      <rPr>
        <sz val="11"/>
        <color rgb="FFFF0000"/>
        <rFont val="Calibri"/>
        <family val="2"/>
        <scheme val="minor"/>
      </rPr>
      <t>*</t>
    </r>
  </si>
  <si>
    <r>
      <t>Cuota Mensual</t>
    </r>
    <r>
      <rPr>
        <sz val="11"/>
        <color rgb="FFFF0000"/>
        <rFont val="Calibri"/>
        <family val="2"/>
        <scheme val="minor"/>
      </rPr>
      <t>**</t>
    </r>
  </si>
  <si>
    <t>Pago Mes
Cuota+Seg.Desg</t>
  </si>
  <si>
    <r>
      <t>Pago Mes</t>
    </r>
    <r>
      <rPr>
        <sz val="11"/>
        <color rgb="FFFF0000"/>
        <rFont val="Calibri"/>
        <family val="2"/>
        <scheme val="minor"/>
      </rPr>
      <t>***</t>
    </r>
  </si>
  <si>
    <r>
      <t>Seguro de Desgravamen</t>
    </r>
    <r>
      <rPr>
        <sz val="11"/>
        <color rgb="FFFF0000"/>
        <rFont val="Calibri"/>
        <family val="2"/>
        <scheme val="minor"/>
      </rPr>
      <t>****</t>
    </r>
  </si>
  <si>
    <t>Totales</t>
  </si>
  <si>
    <t>Efectivo al Instante</t>
  </si>
  <si>
    <t>Compra de Deuda</t>
  </si>
  <si>
    <t>Tipo de Operación</t>
  </si>
  <si>
    <t>SI</t>
  </si>
  <si>
    <t>NO</t>
  </si>
  <si>
    <r>
      <rPr>
        <sz val="9"/>
        <color rgb="FFFF0000"/>
        <rFont val="Calibri"/>
        <family val="2"/>
        <scheme val="minor"/>
      </rPr>
      <t xml:space="preserve">* </t>
    </r>
    <r>
      <rPr>
        <sz val="9"/>
        <color theme="1" tint="0.34998626667073579"/>
        <rFont val="Calibri"/>
        <family val="2"/>
        <scheme val="minor"/>
      </rPr>
      <t>La TEA asignada es fija, referencial y está sujeta a evaluación crediticia.</t>
    </r>
    <r>
      <rPr>
        <sz val="9"/>
        <color rgb="FFFF0000"/>
        <rFont val="Calibri"/>
        <family val="2"/>
        <scheme val="minor"/>
      </rPr>
      <t xml:space="preserve">
** </t>
    </r>
    <r>
      <rPr>
        <sz val="9"/>
        <color theme="1" tint="0.34998626667073579"/>
        <rFont val="Calibri"/>
        <family val="2"/>
        <scheme val="minor"/>
      </rPr>
      <t>El cálculo de la cuota no incluye Seguro de Desgravamen.</t>
    </r>
    <r>
      <rPr>
        <sz val="9"/>
        <color rgb="FFFF0000"/>
        <rFont val="Calibri"/>
        <family val="2"/>
        <scheme val="minor"/>
      </rPr>
      <t xml:space="preserve">
*** </t>
    </r>
    <r>
      <rPr>
        <sz val="9"/>
        <color theme="1" tint="0.34998626667073579"/>
        <rFont val="Calibri"/>
        <family val="2"/>
        <scheme val="minor"/>
      </rPr>
      <t xml:space="preserve">Pago Mes referencial en base a la suma de la cuota mensual fija más la suma del Seguro de Desgravamen que puede ser variable en los últimos meses
</t>
    </r>
    <r>
      <rPr>
        <sz val="9"/>
        <color rgb="FFFF0000"/>
        <rFont val="Calibri"/>
        <family val="2"/>
        <scheme val="minor"/>
      </rPr>
      <t xml:space="preserve">**** </t>
    </r>
    <r>
      <rPr>
        <sz val="9"/>
        <color theme="1" tint="0.34998626667073579"/>
        <rFont val="Calibri"/>
        <family val="2"/>
        <scheme val="minor"/>
      </rPr>
      <t>El Seguro de Desgravamen es Optativo y se calcula en base al Saldo Capital Promedio diario que mantiene el cliente durante su ciclo de facturación, al cual se le aplica la tasa de 3%, con un importe máximo de S/ 19.90.</t>
    </r>
  </si>
  <si>
    <t>¡Ahora puedes tener todo lo que quieras con tu Tarjeta Extralinea para Efectivo al Instante y/o Compra de Deuda que Santander Consumer tiene para ti!</t>
  </si>
  <si>
    <t>Esta simulación es solo referencial. No constituye declaración ni genera responsabilidad para Santander Consumer. Las cuotas resultantes son aproximadas de acuerdo a los datos ingresados. La simulación asume que el efectivo es desembolsado el mismo día al de la fecha en que se efectúa la simulación. Si cuenta con un Seguro de vida contratado directamente, puede endosarlo a favor de Santander Consumer, siempre que reúna las condiciones y características de cobertura requeridas hasta por el monto del saldo adeudado.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</si>
</sst>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_ &quot;S/.&quot;\ * #,##0.00_ ;_ &quot;S/.&quot;\ * \-#,##0.00_ ;_ &quot;S/.&quot;\ * &quot;-&quot;??_ ;_ @_ "/>
    <numFmt numFmtId="166" formatCode="_(&quot;S/.&quot;\ * #,##0.00_);_(&quot;S/.&quot;\ * \(#,##0.00\);_(&quot;S/.&quot;\ * &quot;-&quot;??_);_(@_)"/>
    <numFmt numFmtId="167" formatCode="_(* #,##0.00_);_(* \(#,##0.00\);_(* &quot;-&quot;??_);_(@_)"/>
    <numFmt numFmtId="168" formatCode="0.0000%"/>
    <numFmt numFmtId="169" formatCode="0.00000%"/>
    <numFmt numFmtId="170" formatCode="_([$€-2]\ * #,##0.00_);_([$€-2]\ * \(#,##0.00\);_([$€-2]\ * &quot;-&quot;??_)"/>
    <numFmt numFmtId="171" formatCode="[$-C0A]General"/>
    <numFmt numFmtId="172" formatCode="#,##0\ &quot;Cuotas&quot;"/>
    <numFmt numFmtId="173" formatCode="&quot;S/&quot;\ #,##0.00"/>
  </numFmts>
  <fonts count="74">
    <font>
      <sz val="10"/>
      <name val="Arial"/>
    </font>
    <font>
      <sz val="10"/>
      <name val="Arial"/>
      <family val="2"/>
    </font>
    <font>
      <sz val="8"/>
      <name val="Arial"/>
      <family val="2"/>
    </font>
    <font>
      <b/>
      <sz val="12"/>
      <name val="Tahoma"/>
      <family val="2"/>
    </font>
    <font>
      <sz val="12"/>
      <name val="Tahoma"/>
      <family val="2"/>
    </font>
    <font>
      <b/>
      <sz val="8"/>
      <color indexed="9"/>
      <name val="Tahoma"/>
      <family val="2"/>
    </font>
    <font>
      <sz val="8"/>
      <name val="Tahoma"/>
      <family val="2"/>
    </font>
    <font>
      <b/>
      <sz val="8"/>
      <color indexed="12"/>
      <name val="Tahoma"/>
      <family val="2"/>
    </font>
    <font>
      <b/>
      <sz val="8"/>
      <name val="Tahoma"/>
      <family val="2"/>
    </font>
    <font>
      <sz val="8"/>
      <color indexed="10"/>
      <name val="Tahoma"/>
      <family val="2"/>
    </font>
    <font>
      <b/>
      <sz val="12"/>
      <color indexed="9"/>
      <name val="Tahoma"/>
      <family val="2"/>
    </font>
    <font>
      <sz val="10"/>
      <name val="Tahoma"/>
      <family val="2"/>
    </font>
    <font>
      <u/>
      <sz val="8"/>
      <name val="Tahoma"/>
      <family val="2"/>
    </font>
    <font>
      <sz val="9"/>
      <color indexed="10"/>
      <name val="Calibri"/>
      <family val="2"/>
    </font>
    <font>
      <sz val="9"/>
      <name val="Tahoma"/>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9"/>
      <color indexed="10"/>
      <name val="Geneva"/>
      <family val="2"/>
    </font>
    <font>
      <sz val="10"/>
      <name val="Arial"/>
      <family val="2"/>
      <charset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00000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1"/>
      <color rgb="FFFFFFFF"/>
      <name val="Calibri"/>
      <family val="2"/>
    </font>
    <font>
      <b/>
      <sz val="11"/>
      <color rgb="FF000000"/>
      <name val="Calibri"/>
      <family val="2"/>
    </font>
    <font>
      <sz val="8"/>
      <color theme="0"/>
      <name val="Tahoma"/>
      <family val="2"/>
    </font>
    <font>
      <sz val="8"/>
      <color rgb="FFC00000"/>
      <name val="Tahoma"/>
      <family val="2"/>
    </font>
    <font>
      <b/>
      <sz val="8"/>
      <color theme="0"/>
      <name val="Tahoma"/>
      <family val="2"/>
    </font>
    <font>
      <b/>
      <sz val="11"/>
      <color indexed="12"/>
      <name val="Calibri"/>
      <family val="2"/>
      <scheme val="minor"/>
    </font>
    <font>
      <b/>
      <sz val="11"/>
      <name val="Calibri"/>
      <family val="2"/>
      <scheme val="minor"/>
    </font>
    <font>
      <sz val="10"/>
      <name val="Calibri"/>
      <family val="2"/>
      <scheme val="minor"/>
    </font>
    <font>
      <sz val="11"/>
      <name val="Calibri"/>
      <family val="2"/>
      <scheme val="minor"/>
    </font>
    <font>
      <b/>
      <sz val="16"/>
      <color theme="0"/>
      <name val="Calibri"/>
      <family val="2"/>
      <scheme val="minor"/>
    </font>
    <font>
      <sz val="10"/>
      <color rgb="FFFF0000"/>
      <name val="Calibri"/>
      <family val="2"/>
      <scheme val="minor"/>
    </font>
    <font>
      <sz val="10"/>
      <color theme="1" tint="0.34998626667073579"/>
      <name val="Calibri"/>
      <family val="2"/>
      <scheme val="minor"/>
    </font>
    <font>
      <sz val="11"/>
      <color theme="1" tint="0.34998626667073579"/>
      <name val="Calibri"/>
      <family val="2"/>
      <scheme val="minor"/>
    </font>
    <font>
      <b/>
      <sz val="10"/>
      <color theme="0"/>
      <name val="Calibri"/>
      <family val="2"/>
      <scheme val="minor"/>
    </font>
    <font>
      <sz val="8"/>
      <color theme="0"/>
      <name val="Calibri"/>
      <family val="2"/>
      <scheme val="minor"/>
    </font>
    <font>
      <b/>
      <sz val="8"/>
      <color theme="0"/>
      <name val="Calibri"/>
      <family val="2"/>
      <scheme val="minor"/>
    </font>
    <font>
      <sz val="8"/>
      <color rgb="FF0000FF"/>
      <name val="Calibri"/>
      <family val="2"/>
      <scheme val="minor"/>
    </font>
    <font>
      <b/>
      <sz val="11"/>
      <color rgb="FFFF0000"/>
      <name val="Calibri"/>
      <family val="2"/>
      <scheme val="minor"/>
    </font>
    <font>
      <sz val="10"/>
      <color theme="0" tint="-0.14999847407452621"/>
      <name val="Calibri"/>
      <family val="2"/>
      <scheme val="minor"/>
    </font>
    <font>
      <sz val="9"/>
      <color theme="1" tint="0.34998626667073579"/>
      <name val="Calibri"/>
      <family val="2"/>
      <scheme val="minor"/>
    </font>
    <font>
      <sz val="9"/>
      <color rgb="FFFF0000"/>
      <name val="Calibri"/>
      <family val="2"/>
      <scheme val="minor"/>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62"/>
        <bgColor indexed="64"/>
      </patternFill>
    </fill>
    <fill>
      <patternFill patternType="solid">
        <fgColor indexed="1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rgb="FFFFFF00"/>
        <bgColor indexed="64"/>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64"/>
      </patternFill>
    </fill>
    <fill>
      <patternFill patternType="solid">
        <fgColor theme="4"/>
        <bgColor indexed="64"/>
      </patternFill>
    </fill>
    <fill>
      <patternFill patternType="solid">
        <fgColor theme="8" tint="0.79998168889431442"/>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84">
    <xf numFmtId="0" fontId="0"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3"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35" fillId="27" borderId="0" applyNumberFormat="0" applyBorder="0" applyAlignment="0" applyProtection="0"/>
    <xf numFmtId="0" fontId="35" fillId="27"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5" fillId="29"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35" fillId="32"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5" fillId="38"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7" fillId="45"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37" fillId="45" borderId="0" applyNumberFormat="0" applyBorder="0" applyAlignment="0" applyProtection="0"/>
    <xf numFmtId="0" fontId="38" fillId="46" borderId="39" applyNumberFormat="0" applyAlignment="0" applyProtection="0"/>
    <xf numFmtId="0" fontId="38" fillId="46" borderId="39" applyNumberFormat="0" applyAlignment="0" applyProtection="0"/>
    <xf numFmtId="0" fontId="19" fillId="16" borderId="1" applyNumberFormat="0" applyAlignment="0" applyProtection="0"/>
    <xf numFmtId="0" fontId="19" fillId="16" borderId="1" applyNumberFormat="0" applyAlignment="0" applyProtection="0"/>
    <xf numFmtId="0" fontId="15" fillId="0" borderId="0"/>
    <xf numFmtId="0" fontId="15" fillId="0" borderId="0">
      <alignment vertical="top"/>
    </xf>
    <xf numFmtId="0" fontId="39" fillId="47" borderId="40" applyNumberFormat="0" applyAlignment="0" applyProtection="0"/>
    <xf numFmtId="0" fontId="39" fillId="47" borderId="40" applyNumberFormat="0" applyAlignment="0" applyProtection="0"/>
    <xf numFmtId="0" fontId="20" fillId="17" borderId="2" applyNumberFormat="0" applyAlignment="0" applyProtection="0"/>
    <xf numFmtId="0" fontId="20" fillId="17" borderId="2" applyNumberFormat="0" applyAlignment="0" applyProtection="0"/>
    <xf numFmtId="0" fontId="40" fillId="0" borderId="41" applyNumberFormat="0" applyFill="0" applyAlignment="0" applyProtection="0"/>
    <xf numFmtId="0" fontId="40" fillId="0" borderId="41"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41" fillId="0" borderId="42"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6" fillId="48" borderId="0" applyNumberFormat="0" applyBorder="0" applyAlignment="0" applyProtection="0"/>
    <xf numFmtId="0" fontId="36" fillId="4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43" fillId="54" borderId="39" applyNumberFormat="0" applyAlignment="0" applyProtection="0"/>
    <xf numFmtId="0" fontId="43" fillId="54" borderId="39" applyNumberFormat="0" applyAlignment="0" applyProtection="0"/>
    <xf numFmtId="0" fontId="23" fillId="7" borderId="1" applyNumberFormat="0" applyAlignment="0" applyProtection="0"/>
    <xf numFmtId="0" fontId="23" fillId="7" borderId="1"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70" fontId="15" fillId="0" borderId="0" applyNumberFormat="0" applyFill="0" applyBorder="0" applyAlignment="0" applyProtection="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170" fontId="15" fillId="0" borderId="0" applyNumberFormat="0" applyFont="0" applyFill="0" applyBorder="0" applyAlignment="0" applyProtection="0"/>
    <xf numFmtId="170" fontId="15" fillId="0" borderId="0" applyNumberFormat="0" applyFont="0" applyFill="0" applyBorder="0" applyAlignment="0" applyProtection="0"/>
    <xf numFmtId="170" fontId="15" fillId="0" borderId="0" applyNumberFormat="0" applyFont="0" applyFill="0" applyBorder="0" applyAlignment="0" applyProtection="0"/>
    <xf numFmtId="170" fontId="15" fillId="0" borderId="0" applyNumberFormat="0" applyFont="0" applyFill="0" applyBorder="0" applyAlignment="0" applyProtection="0"/>
    <xf numFmtId="170" fontId="15" fillId="0" borderId="0" applyNumberFormat="0" applyFont="0" applyFill="0" applyBorder="0" applyAlignment="0" applyProtection="0"/>
    <xf numFmtId="170" fontId="15" fillId="0" borderId="0" applyNumberFormat="0" applyFont="0" applyFill="0" applyBorder="0" applyAlignment="0" applyProtection="0"/>
    <xf numFmtId="171" fontId="44" fillId="0" borderId="0" applyBorder="0" applyProtection="0"/>
    <xf numFmtId="0" fontId="45" fillId="55" borderId="0" applyNumberFormat="0" applyBorder="0" applyAlignment="0" applyProtection="0"/>
    <xf numFmtId="0" fontId="45" fillId="55"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6" fillId="0" borderId="0" applyFont="0" applyFill="0" applyBorder="0" applyAlignment="0" applyProtection="0"/>
    <xf numFmtId="166" fontId="15" fillId="0" borderId="0" applyFont="0" applyFill="0" applyBorder="0" applyAlignment="0" applyProtection="0"/>
    <xf numFmtId="0" fontId="46" fillId="56" borderId="0" applyNumberFormat="0" applyBorder="0" applyAlignment="0" applyProtection="0"/>
    <xf numFmtId="0" fontId="46" fillId="56"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applyNumberFormat="0" applyFill="0" applyBorder="0" applyAlignment="0" applyProtection="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35" fillId="0" borderId="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5" fillId="0" borderId="0"/>
    <xf numFmtId="0" fontId="35" fillId="0" borderId="0"/>
    <xf numFmtId="0" fontId="3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applyNumberFormat="0" applyFill="0" applyBorder="0" applyAlignment="0" applyProtection="0"/>
    <xf numFmtId="0" fontId="15" fillId="0" borderId="0"/>
    <xf numFmtId="0" fontId="15" fillId="0" borderId="0" applyNumberFormat="0" applyFill="0" applyBorder="0" applyAlignment="0" applyProtection="0"/>
    <xf numFmtId="170" fontId="35" fillId="0" borderId="0"/>
    <xf numFmtId="170" fontId="35" fillId="0" borderId="0"/>
    <xf numFmtId="170" fontId="35" fillId="0" borderId="0"/>
    <xf numFmtId="170" fontId="35" fillId="0" borderId="0"/>
    <xf numFmtId="170" fontId="35" fillId="0" borderId="0"/>
    <xf numFmtId="0" fontId="3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0" borderId="0"/>
    <xf numFmtId="0" fontId="15" fillId="0" borderId="0"/>
    <xf numFmtId="0" fontId="15"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xf numFmtId="0" fontId="15" fillId="0" borderId="0"/>
    <xf numFmtId="0" fontId="15" fillId="0" borderId="0"/>
    <xf numFmtId="0" fontId="15" fillId="0" borderId="0" applyNumberFormat="0" applyFill="0" applyBorder="0" applyAlignment="0" applyProtection="0"/>
    <xf numFmtId="0" fontId="16" fillId="57" borderId="43" applyNumberFormat="0" applyFont="0" applyAlignment="0" applyProtection="0"/>
    <xf numFmtId="0" fontId="15" fillId="23" borderId="5" applyNumberFormat="0" applyFont="0" applyAlignment="0" applyProtection="0"/>
    <xf numFmtId="0" fontId="15" fillId="23" borderId="5" applyNumberFormat="0" applyFont="0" applyAlignment="0" applyProtection="0"/>
    <xf numFmtId="0" fontId="16" fillId="23" borderId="5" applyNumberFormat="0" applyFont="0" applyAlignment="0" applyProtection="0"/>
    <xf numFmtId="0" fontId="16" fillId="57" borderId="43" applyNumberFormat="0" applyFont="0" applyAlignment="0" applyProtection="0"/>
    <xf numFmtId="0" fontId="16" fillId="57" borderId="43" applyNumberFormat="0" applyFont="0" applyAlignment="0" applyProtection="0"/>
    <xf numFmtId="0" fontId="35" fillId="57" borderId="43" applyNumberFormat="0" applyFont="0" applyAlignment="0" applyProtection="0"/>
    <xf numFmtId="9" fontId="1" fillId="0" borderId="0" applyFont="0" applyFill="0" applyBorder="0" applyAlignment="0" applyProtection="0"/>
    <xf numFmtId="9" fontId="3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47" fillId="46" borderId="44" applyNumberFormat="0" applyAlignment="0" applyProtection="0"/>
    <xf numFmtId="0" fontId="47" fillId="46" borderId="44" applyNumberFormat="0" applyAlignment="0" applyProtection="0"/>
    <xf numFmtId="0" fontId="26" fillId="16" borderId="6" applyNumberFormat="0" applyAlignment="0" applyProtection="0"/>
    <xf numFmtId="0" fontId="26" fillId="16" borderId="6" applyNumberFormat="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0" fillId="0" borderId="0" applyNumberFormat="0" applyFill="0" applyBorder="0" applyAlignment="0" applyProtection="0"/>
    <xf numFmtId="0" fontId="41" fillId="0" borderId="42"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51" fillId="0" borderId="45" applyNumberFormat="0" applyFill="0" applyAlignment="0" applyProtection="0"/>
    <xf numFmtId="0" fontId="51" fillId="0" borderId="45" applyNumberFormat="0" applyFill="0" applyAlignment="0" applyProtection="0"/>
    <xf numFmtId="0" fontId="31" fillId="0" borderId="7" applyNumberFormat="0" applyFill="0" applyAlignment="0" applyProtection="0"/>
    <xf numFmtId="0" fontId="31" fillId="0" borderId="7" applyNumberFormat="0" applyFill="0" applyAlignment="0" applyProtection="0"/>
    <xf numFmtId="0" fontId="42" fillId="0" borderId="46" applyNumberFormat="0" applyFill="0" applyAlignment="0" applyProtection="0"/>
    <xf numFmtId="0" fontId="42" fillId="0" borderId="46"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2" fillId="0" borderId="47" applyNumberFormat="0" applyFill="0" applyAlignment="0" applyProtection="0"/>
    <xf numFmtId="0" fontId="52" fillId="0" borderId="47" applyNumberFormat="0" applyFill="0" applyAlignment="0" applyProtection="0"/>
    <xf numFmtId="0" fontId="32" fillId="0" borderId="9" applyNumberFormat="0" applyFill="0" applyAlignment="0" applyProtection="0"/>
    <xf numFmtId="0" fontId="32" fillId="0" borderId="9" applyNumberFormat="0" applyFill="0" applyAlignment="0" applyProtection="0"/>
  </cellStyleXfs>
  <cellXfs count="197">
    <xf numFmtId="0" fontId="0" fillId="0" borderId="0" xfId="0"/>
    <xf numFmtId="0" fontId="6" fillId="0" borderId="0" xfId="0" applyFont="1" applyAlignment="1" applyProtection="1">
      <alignment vertical="center"/>
      <protection hidden="1"/>
    </xf>
    <xf numFmtId="0" fontId="6" fillId="0" borderId="0" xfId="0" applyFont="1" applyFill="1" applyBorder="1" applyAlignment="1" applyProtection="1">
      <alignment vertical="center"/>
      <protection hidden="1"/>
    </xf>
    <xf numFmtId="0" fontId="6" fillId="0" borderId="13" xfId="0" applyFont="1" applyFill="1" applyBorder="1" applyAlignment="1" applyProtection="1">
      <alignment vertical="center"/>
      <protection hidden="1"/>
    </xf>
    <xf numFmtId="0" fontId="6" fillId="0" borderId="0" xfId="0" applyFont="1" applyBorder="1" applyAlignment="1" applyProtection="1">
      <alignment vertical="center"/>
      <protection hidden="1"/>
    </xf>
    <xf numFmtId="0" fontId="7" fillId="0" borderId="0" xfId="0" applyFont="1" applyFill="1" applyBorder="1" applyAlignment="1" applyProtection="1">
      <alignment horizontal="center" vertical="center"/>
      <protection locked="0"/>
    </xf>
    <xf numFmtId="0" fontId="7" fillId="0" borderId="14" xfId="0" applyNumberFormat="1"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center" vertical="center"/>
      <protection locked="0"/>
    </xf>
    <xf numFmtId="0" fontId="6" fillId="0" borderId="13" xfId="0" applyFont="1" applyBorder="1" applyAlignment="1" applyProtection="1">
      <alignment vertical="center"/>
      <protection hidden="1"/>
    </xf>
    <xf numFmtId="4" fontId="8" fillId="0" borderId="0" xfId="0" applyNumberFormat="1" applyFont="1" applyFill="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14" fontId="6" fillId="0" borderId="17" xfId="0" applyNumberFormat="1" applyFont="1" applyBorder="1" applyAlignment="1" applyProtection="1">
      <alignment horizontal="center" vertical="center"/>
      <protection hidden="1"/>
    </xf>
    <xf numFmtId="3" fontId="6" fillId="0" borderId="17" xfId="0" applyNumberFormat="1"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4" fontId="6" fillId="0" borderId="17" xfId="0" applyNumberFormat="1" applyFont="1" applyBorder="1" applyAlignment="1" applyProtection="1">
      <alignment horizontal="center" vertical="center"/>
      <protection hidden="1"/>
    </xf>
    <xf numFmtId="4" fontId="6" fillId="0" borderId="0" xfId="0" applyNumberFormat="1" applyFont="1" applyFill="1" applyBorder="1" applyAlignment="1" applyProtection="1">
      <alignment horizontal="center" vertical="center"/>
      <protection hidden="1"/>
    </xf>
    <xf numFmtId="0" fontId="6" fillId="0" borderId="0" xfId="0" applyFont="1" applyFill="1" applyAlignment="1" applyProtection="1">
      <alignment vertical="center"/>
      <protection hidden="1"/>
    </xf>
    <xf numFmtId="39" fontId="6" fillId="0" borderId="0" xfId="0" applyNumberFormat="1" applyFont="1" applyFill="1" applyBorder="1" applyAlignment="1" applyProtection="1">
      <alignment vertical="center"/>
      <protection hidden="1"/>
    </xf>
    <xf numFmtId="0" fontId="6" fillId="0" borderId="18" xfId="0" applyFont="1" applyBorder="1" applyAlignment="1" applyProtection="1">
      <alignment horizontal="center" vertical="center"/>
      <protection hidden="1"/>
    </xf>
    <xf numFmtId="4" fontId="6" fillId="0" borderId="19" xfId="0" applyNumberFormat="1" applyFont="1" applyBorder="1" applyAlignment="1" applyProtection="1">
      <alignment horizontal="center" vertical="center"/>
      <protection hidden="1"/>
    </xf>
    <xf numFmtId="39" fontId="6" fillId="0" borderId="0" xfId="0" applyNumberFormat="1" applyFont="1" applyFill="1" applyAlignment="1" applyProtection="1">
      <alignment vertical="center"/>
      <protection hidden="1"/>
    </xf>
    <xf numFmtId="0" fontId="11" fillId="0" borderId="20" xfId="0" applyFont="1" applyBorder="1" applyAlignment="1" applyProtection="1">
      <alignment vertical="center"/>
      <protection hidden="1"/>
    </xf>
    <xf numFmtId="2" fontId="11" fillId="0" borderId="21" xfId="0" applyNumberFormat="1" applyFont="1" applyBorder="1" applyAlignment="1" applyProtection="1">
      <alignment vertical="center"/>
      <protection hidden="1"/>
    </xf>
    <xf numFmtId="0" fontId="6" fillId="0" borderId="22" xfId="0" applyFont="1" applyBorder="1" applyAlignment="1" applyProtection="1">
      <alignment vertical="center"/>
      <protection hidden="1"/>
    </xf>
    <xf numFmtId="0" fontId="11" fillId="0" borderId="16" xfId="0" applyFont="1" applyBorder="1" applyAlignment="1" applyProtection="1">
      <alignment vertical="center"/>
      <protection hidden="1"/>
    </xf>
    <xf numFmtId="168" fontId="11" fillId="0" borderId="17" xfId="249" applyNumberFormat="1" applyFont="1" applyBorder="1" applyAlignment="1" applyProtection="1">
      <alignment vertical="center"/>
      <protection hidden="1"/>
    </xf>
    <xf numFmtId="0" fontId="6" fillId="0" borderId="23" xfId="0" applyFont="1" applyBorder="1" applyAlignment="1" applyProtection="1">
      <alignment vertical="center"/>
      <protection hidden="1"/>
    </xf>
    <xf numFmtId="169" fontId="11" fillId="0" borderId="17" xfId="249" applyNumberFormat="1" applyFont="1" applyBorder="1" applyAlignment="1" applyProtection="1">
      <alignment vertical="center"/>
      <protection hidden="1"/>
    </xf>
    <xf numFmtId="0" fontId="11" fillId="0" borderId="18" xfId="0" applyFont="1" applyBorder="1" applyAlignment="1" applyProtection="1">
      <alignment vertical="center"/>
      <protection hidden="1"/>
    </xf>
    <xf numFmtId="169" fontId="11" fillId="0" borderId="19" xfId="249" applyNumberFormat="1" applyFont="1" applyBorder="1" applyAlignment="1" applyProtection="1">
      <alignment vertical="center"/>
      <protection hidden="1"/>
    </xf>
    <xf numFmtId="0" fontId="6" fillId="0" borderId="24" xfId="0" applyFont="1" applyBorder="1" applyAlignment="1" applyProtection="1">
      <alignment vertical="center"/>
      <protection hidden="1"/>
    </xf>
    <xf numFmtId="0" fontId="11" fillId="0" borderId="0" xfId="0" applyFont="1" applyAlignment="1" applyProtection="1">
      <alignment vertical="center"/>
      <protection hidden="1"/>
    </xf>
    <xf numFmtId="0" fontId="6" fillId="0" borderId="16" xfId="0" applyFont="1" applyBorder="1" applyAlignment="1" applyProtection="1">
      <alignment vertical="center"/>
      <protection hidden="1"/>
    </xf>
    <xf numFmtId="168" fontId="6" fillId="0" borderId="17" xfId="249" applyNumberFormat="1" applyFont="1" applyBorder="1" applyAlignment="1" applyProtection="1">
      <alignment vertical="center"/>
      <protection hidden="1"/>
    </xf>
    <xf numFmtId="169" fontId="6" fillId="0" borderId="17" xfId="249" applyNumberFormat="1" applyFont="1" applyBorder="1" applyAlignment="1" applyProtection="1">
      <alignment vertical="center"/>
      <protection hidden="1"/>
    </xf>
    <xf numFmtId="0" fontId="6" fillId="0" borderId="18" xfId="0" applyFont="1" applyBorder="1" applyAlignment="1" applyProtection="1">
      <alignment vertical="center"/>
      <protection hidden="1"/>
    </xf>
    <xf numFmtId="168" fontId="6" fillId="0" borderId="19" xfId="249" applyNumberFormat="1" applyFont="1" applyBorder="1" applyAlignment="1" applyProtection="1">
      <alignment vertical="center"/>
      <protection hidden="1"/>
    </xf>
    <xf numFmtId="0" fontId="8" fillId="0" borderId="0" xfId="0" applyFont="1" applyFill="1" applyAlignment="1" applyProtection="1">
      <alignment vertical="center"/>
      <protection hidden="1"/>
    </xf>
    <xf numFmtId="0" fontId="12" fillId="0" borderId="0" xfId="0" applyFont="1" applyFill="1" applyAlignment="1" applyProtection="1">
      <alignment vertical="center"/>
      <protection hidden="1"/>
    </xf>
    <xf numFmtId="0" fontId="12" fillId="0" borderId="0" xfId="0" applyFont="1" applyFill="1" applyBorder="1" applyAlignment="1" applyProtection="1">
      <alignment vertical="center"/>
      <protection hidden="1"/>
    </xf>
    <xf numFmtId="0" fontId="9" fillId="0" borderId="0" xfId="0" applyFont="1" applyFill="1" applyAlignment="1" applyProtection="1">
      <alignment vertical="center"/>
      <protection hidden="1"/>
    </xf>
    <xf numFmtId="0" fontId="8" fillId="0" borderId="0" xfId="0" applyFont="1" applyFill="1" applyBorder="1" applyAlignment="1" applyProtection="1">
      <alignment vertical="center"/>
      <protection hidden="1"/>
    </xf>
    <xf numFmtId="4" fontId="8" fillId="0" borderId="0" xfId="0" applyNumberFormat="1" applyFont="1" applyFill="1" applyBorder="1" applyAlignment="1" applyProtection="1">
      <alignment vertical="center"/>
      <protection hidden="1"/>
    </xf>
    <xf numFmtId="10" fontId="6" fillId="0" borderId="14" xfId="249" applyNumberFormat="1" applyFont="1" applyFill="1" applyBorder="1" applyAlignment="1" applyProtection="1">
      <alignment horizontal="center" vertical="center"/>
      <protection hidden="1"/>
    </xf>
    <xf numFmtId="0" fontId="6" fillId="0" borderId="0" xfId="0" applyFont="1" applyAlignment="1">
      <alignment vertical="center"/>
    </xf>
    <xf numFmtId="0" fontId="4" fillId="0" borderId="0" xfId="0" applyFont="1" applyAlignment="1">
      <alignment vertical="center"/>
    </xf>
    <xf numFmtId="0" fontId="55" fillId="0" borderId="0" xfId="0" applyFont="1" applyFill="1" applyBorder="1" applyAlignment="1">
      <alignment vertical="center"/>
    </xf>
    <xf numFmtId="168" fontId="55" fillId="0" borderId="0" xfId="0" applyNumberFormat="1" applyFont="1" applyFill="1" applyBorder="1" applyAlignment="1">
      <alignment vertical="center"/>
    </xf>
    <xf numFmtId="169" fontId="55"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168" fontId="55" fillId="0" borderId="0" xfId="249" applyNumberFormat="1" applyFont="1" applyFill="1" applyBorder="1" applyAlignment="1">
      <alignment vertical="center"/>
    </xf>
    <xf numFmtId="14" fontId="6" fillId="0" borderId="0" xfId="0" applyNumberFormat="1" applyFont="1" applyAlignment="1">
      <alignment vertical="center"/>
    </xf>
    <xf numFmtId="0" fontId="6" fillId="0" borderId="0" xfId="0" applyNumberFormat="1" applyFont="1" applyAlignment="1">
      <alignment vertical="center"/>
    </xf>
    <xf numFmtId="4" fontId="8" fillId="24" borderId="25" xfId="0" applyNumberFormat="1" applyFont="1" applyFill="1" applyBorder="1" applyAlignment="1">
      <alignment horizontal="center" vertical="center"/>
    </xf>
    <xf numFmtId="4" fontId="6" fillId="0" borderId="26" xfId="0" applyNumberFormat="1" applyFont="1" applyBorder="1" applyAlignment="1">
      <alignment horizontal="center" vertical="center"/>
    </xf>
    <xf numFmtId="40" fontId="13" fillId="0" borderId="0" xfId="0" applyNumberFormat="1" applyFont="1" applyFill="1" applyBorder="1" applyAlignment="1">
      <alignment horizontal="right" vertical="center"/>
    </xf>
    <xf numFmtId="3" fontId="6" fillId="0" borderId="0" xfId="0" applyNumberFormat="1" applyFont="1" applyBorder="1" applyAlignment="1">
      <alignment horizontal="center" vertical="center"/>
    </xf>
    <xf numFmtId="14" fontId="56" fillId="0" borderId="0" xfId="0" applyNumberFormat="1" applyFont="1" applyAlignment="1">
      <alignment vertical="center"/>
    </xf>
    <xf numFmtId="0" fontId="6" fillId="0" borderId="0" xfId="0" applyFont="1" applyFill="1" applyAlignment="1">
      <alignment vertical="center"/>
    </xf>
    <xf numFmtId="0" fontId="14" fillId="0" borderId="0" xfId="0" applyFont="1" applyAlignment="1">
      <alignment vertical="center"/>
    </xf>
    <xf numFmtId="39" fontId="6" fillId="0" borderId="0" xfId="0" applyNumberFormat="1" applyFont="1" applyFill="1" applyBorder="1" applyAlignment="1">
      <alignment vertical="center"/>
    </xf>
    <xf numFmtId="39" fontId="6" fillId="0" borderId="0" xfId="0" applyNumberFormat="1" applyFont="1" applyAlignment="1">
      <alignment vertical="center"/>
    </xf>
    <xf numFmtId="0" fontId="6" fillId="0" borderId="0" xfId="0" applyFont="1" applyAlignment="1">
      <alignment horizontal="center" vertical="center"/>
    </xf>
    <xf numFmtId="39" fontId="6" fillId="0" borderId="0" xfId="0" applyNumberFormat="1" applyFont="1" applyFill="1" applyAlignment="1">
      <alignment vertical="center"/>
    </xf>
    <xf numFmtId="0" fontId="8" fillId="0" borderId="0" xfId="0" applyFont="1" applyFill="1" applyAlignment="1">
      <alignment vertical="center"/>
    </xf>
    <xf numFmtId="0" fontId="12" fillId="0" borderId="0" xfId="0" applyFont="1" applyFill="1" applyAlignment="1">
      <alignment vertical="center"/>
    </xf>
    <xf numFmtId="39" fontId="8" fillId="0" borderId="0" xfId="0" applyNumberFormat="1" applyFont="1" applyFill="1" applyAlignment="1">
      <alignment vertical="center"/>
    </xf>
    <xf numFmtId="4" fontId="7" fillId="0" borderId="11" xfId="0" applyNumberFormat="1" applyFont="1" applyFill="1" applyBorder="1" applyAlignment="1" applyProtection="1">
      <alignment horizontal="center" vertical="center"/>
      <protection locked="0"/>
    </xf>
    <xf numFmtId="0" fontId="3"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Border="1" applyAlignment="1">
      <alignment vertical="center"/>
    </xf>
    <xf numFmtId="4" fontId="6" fillId="0" borderId="22" xfId="0" applyNumberFormat="1" applyFont="1" applyFill="1" applyBorder="1" applyAlignment="1">
      <alignment horizontal="center" vertical="center"/>
    </xf>
    <xf numFmtId="4" fontId="6" fillId="0" borderId="17" xfId="0" applyNumberFormat="1" applyFont="1" applyFill="1" applyBorder="1" applyAlignment="1" applyProtection="1">
      <alignment horizontal="center" vertical="center"/>
      <protection hidden="1"/>
    </xf>
    <xf numFmtId="0" fontId="6" fillId="25" borderId="27" xfId="0" applyFont="1" applyFill="1" applyBorder="1" applyAlignment="1" applyProtection="1">
      <alignment vertical="center"/>
      <protection hidden="1"/>
    </xf>
    <xf numFmtId="0" fontId="6" fillId="25" borderId="28" xfId="0" applyFont="1" applyFill="1" applyBorder="1" applyAlignment="1" applyProtection="1">
      <alignment vertical="center"/>
      <protection hidden="1"/>
    </xf>
    <xf numFmtId="3" fontId="8" fillId="0" borderId="28" xfId="0" applyNumberFormat="1" applyFont="1" applyBorder="1" applyAlignment="1" applyProtection="1">
      <alignment horizontal="center" vertical="center"/>
      <protection hidden="1"/>
    </xf>
    <xf numFmtId="0" fontId="8" fillId="25" borderId="28" xfId="0" applyFont="1" applyFill="1" applyBorder="1" applyAlignment="1" applyProtection="1">
      <alignment horizontal="center" vertical="center"/>
      <protection hidden="1"/>
    </xf>
    <xf numFmtId="0" fontId="8" fillId="0" borderId="28" xfId="0" applyFont="1" applyBorder="1" applyAlignment="1" applyProtection="1">
      <alignment horizontal="center" vertical="center"/>
      <protection hidden="1"/>
    </xf>
    <xf numFmtId="4" fontId="8" fillId="25" borderId="28" xfId="0" applyNumberFormat="1" applyFont="1" applyFill="1" applyBorder="1" applyAlignment="1" applyProtection="1">
      <alignment horizontal="center" vertical="center"/>
      <protection hidden="1"/>
    </xf>
    <xf numFmtId="4" fontId="8" fillId="0" borderId="28" xfId="0" applyNumberFormat="1" applyFont="1" applyBorder="1" applyAlignment="1" applyProtection="1">
      <alignment horizontal="center" vertical="center"/>
      <protection hidden="1"/>
    </xf>
    <xf numFmtId="4" fontId="6" fillId="25" borderId="29" xfId="0" applyNumberFormat="1" applyFont="1" applyFill="1" applyBorder="1" applyAlignment="1" applyProtection="1">
      <alignment horizontal="center" vertical="center"/>
      <protection hidden="1"/>
    </xf>
    <xf numFmtId="4" fontId="6" fillId="0" borderId="19" xfId="0" applyNumberFormat="1" applyFont="1" applyFill="1" applyBorder="1" applyAlignment="1" applyProtection="1">
      <alignment horizontal="center" vertical="center"/>
      <protection hidden="1"/>
    </xf>
    <xf numFmtId="14" fontId="7" fillId="0" borderId="14" xfId="0" applyNumberFormat="1" applyFont="1" applyFill="1" applyBorder="1" applyAlignment="1" applyProtection="1">
      <alignment horizontal="center" vertical="center"/>
      <protection locked="0"/>
    </xf>
    <xf numFmtId="14" fontId="6" fillId="0" borderId="0" xfId="0" applyNumberFormat="1" applyFont="1" applyBorder="1" applyAlignment="1" applyProtection="1">
      <alignment horizontal="center" vertical="center"/>
      <protection hidden="1"/>
    </xf>
    <xf numFmtId="14" fontId="6" fillId="0" borderId="14" xfId="0" applyNumberFormat="1" applyFont="1" applyFill="1" applyBorder="1" applyAlignment="1" applyProtection="1">
      <alignment horizontal="center" vertical="center"/>
      <protection hidden="1"/>
    </xf>
    <xf numFmtId="14" fontId="6" fillId="0" borderId="0" xfId="0" applyNumberFormat="1" applyFont="1" applyBorder="1" applyAlignment="1" applyProtection="1">
      <alignment vertical="center"/>
      <protection hidden="1"/>
    </xf>
    <xf numFmtId="9" fontId="6" fillId="0" borderId="0" xfId="249" applyFont="1" applyFill="1" applyBorder="1" applyAlignment="1" applyProtection="1">
      <alignment horizontal="center" vertical="center"/>
      <protection hidden="1"/>
    </xf>
    <xf numFmtId="14" fontId="55" fillId="0" borderId="0" xfId="0" applyNumberFormat="1" applyFont="1" applyFill="1" applyBorder="1" applyAlignment="1">
      <alignment vertical="center"/>
    </xf>
    <xf numFmtId="0" fontId="8" fillId="24" borderId="20" xfId="0" applyFont="1" applyFill="1" applyBorder="1" applyAlignment="1" applyProtection="1">
      <alignment horizontal="center" vertical="center" wrapText="1"/>
      <protection hidden="1"/>
    </xf>
    <xf numFmtId="0" fontId="8" fillId="24" borderId="21" xfId="0" applyFont="1" applyFill="1" applyBorder="1" applyAlignment="1" applyProtection="1">
      <alignment horizontal="center" vertical="center" wrapText="1"/>
      <protection hidden="1"/>
    </xf>
    <xf numFmtId="0" fontId="8" fillId="58" borderId="21" xfId="0" applyFont="1" applyFill="1" applyBorder="1" applyAlignment="1" applyProtection="1">
      <alignment horizontal="center" vertical="center" wrapText="1"/>
      <protection hidden="1"/>
    </xf>
    <xf numFmtId="0" fontId="8" fillId="24" borderId="30" xfId="0" applyFont="1" applyFill="1" applyBorder="1" applyAlignment="1" applyProtection="1">
      <alignment horizontal="center" vertical="center"/>
      <protection hidden="1"/>
    </xf>
    <xf numFmtId="4" fontId="6" fillId="0" borderId="15" xfId="0" applyNumberFormat="1" applyFont="1" applyFill="1" applyBorder="1" applyAlignment="1">
      <alignment horizontal="center" vertical="center"/>
    </xf>
    <xf numFmtId="4" fontId="8" fillId="0" borderId="27" xfId="0" applyNumberFormat="1" applyFont="1" applyBorder="1" applyAlignment="1">
      <alignment horizontal="center" vertical="center"/>
    </xf>
    <xf numFmtId="4" fontId="8" fillId="0" borderId="29" xfId="0" applyNumberFormat="1" applyFont="1" applyBorder="1" applyAlignment="1">
      <alignment horizontal="center" vertical="center"/>
    </xf>
    <xf numFmtId="0" fontId="8" fillId="0" borderId="15" xfId="0" applyFont="1" applyBorder="1" applyAlignment="1">
      <alignment vertical="center"/>
    </xf>
    <xf numFmtId="4" fontId="8" fillId="0" borderId="28" xfId="0" applyNumberFormat="1" applyFont="1" applyBorder="1" applyAlignment="1">
      <alignment horizontal="center" vertical="center"/>
    </xf>
    <xf numFmtId="4" fontId="6" fillId="0" borderId="17" xfId="0" applyNumberFormat="1" applyFont="1" applyFill="1" applyBorder="1" applyAlignment="1">
      <alignment horizontal="center" vertical="center"/>
    </xf>
    <xf numFmtId="4" fontId="6" fillId="0" borderId="17" xfId="0" applyNumberFormat="1" applyFont="1" applyBorder="1" applyAlignment="1">
      <alignment horizontal="center" vertical="center"/>
    </xf>
    <xf numFmtId="0" fontId="6" fillId="0" borderId="17" xfId="0" applyFont="1" applyBorder="1" applyAlignment="1">
      <alignment vertical="center"/>
    </xf>
    <xf numFmtId="0" fontId="8" fillId="24" borderId="21" xfId="0" applyFont="1" applyFill="1" applyBorder="1" applyAlignment="1" applyProtection="1">
      <alignment horizontal="center" vertical="center"/>
      <protection hidden="1"/>
    </xf>
    <xf numFmtId="0" fontId="8" fillId="59" borderId="21" xfId="0" applyFont="1" applyFill="1" applyBorder="1" applyAlignment="1" applyProtection="1">
      <alignment horizontal="center" vertical="center"/>
      <protection hidden="1"/>
    </xf>
    <xf numFmtId="0" fontId="8" fillId="0" borderId="21" xfId="0" applyFont="1" applyFill="1" applyBorder="1" applyAlignment="1">
      <alignment horizontal="center" vertical="center"/>
    </xf>
    <xf numFmtId="0" fontId="8" fillId="58" borderId="21" xfId="0" applyFont="1" applyFill="1" applyBorder="1" applyAlignment="1">
      <alignment horizontal="center" vertical="center"/>
    </xf>
    <xf numFmtId="0" fontId="6" fillId="58" borderId="21" xfId="0" applyFont="1" applyFill="1" applyBorder="1" applyAlignment="1">
      <alignment vertical="center"/>
    </xf>
    <xf numFmtId="4" fontId="6" fillId="0" borderId="19" xfId="0" applyNumberFormat="1" applyFont="1" applyFill="1" applyBorder="1" applyAlignment="1">
      <alignment horizontal="center" vertical="center"/>
    </xf>
    <xf numFmtId="4" fontId="6" fillId="0" borderId="19" xfId="0" applyNumberFormat="1" applyFont="1" applyBorder="1" applyAlignment="1">
      <alignment horizontal="center" vertical="center"/>
    </xf>
    <xf numFmtId="0" fontId="6" fillId="0" borderId="19" xfId="0" applyFont="1" applyBorder="1" applyAlignment="1">
      <alignment vertical="center"/>
    </xf>
    <xf numFmtId="0" fontId="53" fillId="62" borderId="50" xfId="0" applyFont="1" applyFill="1" applyBorder="1" applyAlignment="1">
      <alignment horizontal="center" vertical="center" wrapText="1"/>
    </xf>
    <xf numFmtId="0" fontId="53" fillId="62" borderId="51" xfId="0" applyFont="1" applyFill="1" applyBorder="1" applyAlignment="1">
      <alignment horizontal="center" vertical="center" wrapText="1"/>
    </xf>
    <xf numFmtId="0" fontId="53" fillId="62" borderId="55" xfId="0" applyFont="1" applyFill="1" applyBorder="1" applyAlignment="1">
      <alignment horizontal="center" vertical="center" wrapText="1"/>
    </xf>
    <xf numFmtId="0" fontId="54" fillId="0" borderId="49" xfId="0" applyFont="1" applyFill="1" applyBorder="1" applyAlignment="1">
      <alignment horizontal="center" vertical="center" wrapText="1"/>
    </xf>
    <xf numFmtId="0" fontId="44" fillId="0" borderId="48" xfId="0" applyNumberFormat="1" applyFont="1" applyFill="1" applyBorder="1" applyAlignment="1">
      <alignment horizontal="center" vertical="center" wrapText="1"/>
    </xf>
    <xf numFmtId="0" fontId="44" fillId="0" borderId="52" xfId="0" applyNumberFormat="1" applyFont="1" applyFill="1" applyBorder="1" applyAlignment="1">
      <alignment horizontal="center" vertical="center" wrapText="1"/>
    </xf>
    <xf numFmtId="0" fontId="54" fillId="0" borderId="54" xfId="0" applyFont="1" applyFill="1" applyBorder="1" applyAlignment="1">
      <alignment horizontal="center" vertical="center" wrapText="1"/>
    </xf>
    <xf numFmtId="0" fontId="44" fillId="0" borderId="56" xfId="0" applyNumberFormat="1" applyFont="1" applyFill="1" applyBorder="1" applyAlignment="1">
      <alignment horizontal="center" vertical="center" wrapText="1"/>
    </xf>
    <xf numFmtId="0" fontId="44" fillId="0" borderId="53" xfId="0" applyNumberFormat="1" applyFont="1" applyFill="1" applyBorder="1" applyAlignment="1">
      <alignment horizontal="center" vertical="center" wrapText="1"/>
    </xf>
    <xf numFmtId="0" fontId="44" fillId="61" borderId="48" xfId="0" applyNumberFormat="1" applyFont="1" applyFill="1" applyBorder="1" applyAlignment="1">
      <alignment horizontal="center" vertical="center" wrapText="1"/>
    </xf>
    <xf numFmtId="0" fontId="44" fillId="60" borderId="48" xfId="0" applyNumberFormat="1" applyFont="1" applyFill="1" applyBorder="1" applyAlignment="1">
      <alignment horizontal="center" vertical="center" wrapText="1"/>
    </xf>
    <xf numFmtId="172" fontId="58" fillId="0" borderId="59" xfId="0" applyNumberFormat="1" applyFont="1" applyFill="1" applyBorder="1" applyAlignment="1" applyProtection="1">
      <alignment horizontal="center" vertical="center"/>
      <protection locked="0"/>
    </xf>
    <xf numFmtId="3" fontId="58" fillId="0" borderId="59" xfId="0" applyNumberFormat="1" applyFont="1" applyFill="1" applyBorder="1" applyAlignment="1" applyProtection="1">
      <alignment horizontal="center" vertical="center"/>
      <protection locked="0"/>
    </xf>
    <xf numFmtId="0" fontId="60" fillId="0" borderId="0" xfId="0" applyFont="1" applyAlignment="1" applyProtection="1">
      <alignment vertical="center"/>
    </xf>
    <xf numFmtId="0" fontId="60" fillId="0" borderId="0" xfId="0" applyFont="1" applyAlignment="1" applyProtection="1">
      <alignment horizontal="right" vertical="center"/>
    </xf>
    <xf numFmtId="0" fontId="60" fillId="63" borderId="0" xfId="0" applyFont="1" applyFill="1" applyAlignment="1" applyProtection="1">
      <alignment vertical="center"/>
    </xf>
    <xf numFmtId="0" fontId="60" fillId="63" borderId="0" xfId="0" applyFont="1" applyFill="1" applyAlignment="1" applyProtection="1">
      <alignment horizontal="right" vertical="center"/>
    </xf>
    <xf numFmtId="0" fontId="61" fillId="64" borderId="58" xfId="0" applyFont="1" applyFill="1" applyBorder="1" applyAlignment="1" applyProtection="1">
      <alignment horizontal="right" vertical="center"/>
    </xf>
    <xf numFmtId="0" fontId="61" fillId="64" borderId="57" xfId="0" applyFont="1" applyFill="1" applyBorder="1" applyAlignment="1" applyProtection="1">
      <alignment horizontal="center" vertical="center"/>
    </xf>
    <xf numFmtId="0" fontId="60" fillId="0" borderId="0" xfId="0" applyFont="1" applyProtection="1"/>
    <xf numFmtId="0" fontId="61" fillId="63" borderId="0" xfId="0" applyFont="1" applyFill="1" applyAlignment="1" applyProtection="1">
      <alignment horizontal="right" vertical="center"/>
    </xf>
    <xf numFmtId="14" fontId="59" fillId="64" borderId="59" xfId="0" applyNumberFormat="1" applyFont="1" applyFill="1" applyBorder="1" applyAlignment="1" applyProtection="1">
      <alignment horizontal="center" vertical="center"/>
    </xf>
    <xf numFmtId="0" fontId="60" fillId="63" borderId="0" xfId="0" applyFont="1" applyFill="1" applyAlignment="1" applyProtection="1">
      <alignment vertical="center" wrapText="1"/>
    </xf>
    <xf numFmtId="173" fontId="48" fillId="63" borderId="0" xfId="0" applyNumberFormat="1" applyFont="1" applyFill="1" applyAlignment="1" applyProtection="1">
      <alignment horizontal="left" vertical="center"/>
    </xf>
    <xf numFmtId="0" fontId="65" fillId="63" borderId="0" xfId="0" applyFont="1" applyFill="1" applyAlignment="1" applyProtection="1">
      <alignment horizontal="right" vertical="center"/>
    </xf>
    <xf numFmtId="0" fontId="65" fillId="63" borderId="0" xfId="0" applyFont="1" applyFill="1" applyAlignment="1" applyProtection="1">
      <alignment vertical="center"/>
    </xf>
    <xf numFmtId="10" fontId="65" fillId="63" borderId="0" xfId="0" applyNumberFormat="1" applyFont="1" applyFill="1" applyAlignment="1" applyProtection="1">
      <alignment horizontal="left" vertical="center"/>
    </xf>
    <xf numFmtId="0" fontId="65" fillId="63" borderId="0" xfId="0" applyFont="1" applyFill="1" applyAlignment="1" applyProtection="1">
      <alignment horizontal="left" vertical="center"/>
    </xf>
    <xf numFmtId="14" fontId="48" fillId="63" borderId="0" xfId="0" applyNumberFormat="1" applyFont="1" applyFill="1" applyAlignment="1" applyProtection="1">
      <alignment horizontal="left" vertical="center"/>
    </xf>
    <xf numFmtId="0" fontId="64" fillId="63" borderId="0" xfId="0" applyFont="1" applyFill="1" applyAlignment="1" applyProtection="1">
      <alignment vertical="top" wrapText="1"/>
    </xf>
    <xf numFmtId="10" fontId="58" fillId="0" borderId="59" xfId="249" applyNumberFormat="1" applyFont="1" applyFill="1" applyBorder="1" applyAlignment="1" applyProtection="1">
      <alignment horizontal="center" vertical="center"/>
      <protection locked="0"/>
    </xf>
    <xf numFmtId="4" fontId="68" fillId="67" borderId="62" xfId="0" applyNumberFormat="1" applyFont="1" applyFill="1" applyBorder="1" applyAlignment="1" applyProtection="1">
      <alignment horizontal="center" vertical="center"/>
    </xf>
    <xf numFmtId="4" fontId="68" fillId="67" borderId="63" xfId="0" applyNumberFormat="1" applyFont="1" applyFill="1" applyBorder="1" applyAlignment="1" applyProtection="1">
      <alignment horizontal="center" vertical="center"/>
    </xf>
    <xf numFmtId="0" fontId="69" fillId="66" borderId="31" xfId="0" applyFont="1" applyFill="1" applyBorder="1" applyAlignment="1" applyProtection="1">
      <alignment horizontal="center" vertical="center"/>
      <protection hidden="1"/>
    </xf>
    <xf numFmtId="14" fontId="69" fillId="66" borderId="32" xfId="0" applyNumberFormat="1" applyFont="1" applyFill="1" applyBorder="1" applyAlignment="1" applyProtection="1">
      <alignment horizontal="center" vertical="center"/>
      <protection hidden="1"/>
    </xf>
    <xf numFmtId="4" fontId="69" fillId="66" borderId="32" xfId="0" applyNumberFormat="1" applyFont="1" applyFill="1" applyBorder="1" applyAlignment="1" applyProtection="1">
      <alignment horizontal="center" vertical="center"/>
      <protection hidden="1"/>
    </xf>
    <xf numFmtId="4" fontId="69" fillId="66" borderId="32" xfId="0" applyNumberFormat="1" applyFont="1" applyFill="1" applyBorder="1" applyAlignment="1">
      <alignment horizontal="center" vertical="center"/>
    </xf>
    <xf numFmtId="4" fontId="69" fillId="66" borderId="23" xfId="0" applyNumberFormat="1" applyFont="1" applyFill="1" applyBorder="1" applyAlignment="1">
      <alignment horizontal="center" vertical="center"/>
    </xf>
    <xf numFmtId="0" fontId="69" fillId="66" borderId="16" xfId="0" applyFont="1" applyFill="1" applyBorder="1" applyAlignment="1" applyProtection="1">
      <alignment horizontal="center" vertical="center"/>
      <protection hidden="1"/>
    </xf>
    <xf numFmtId="14" fontId="69" fillId="66" borderId="17" xfId="0" applyNumberFormat="1" applyFont="1" applyFill="1" applyBorder="1" applyAlignment="1" applyProtection="1">
      <alignment horizontal="center" vertical="center"/>
      <protection hidden="1"/>
    </xf>
    <xf numFmtId="4" fontId="69" fillId="66" borderId="17" xfId="0" applyNumberFormat="1" applyFont="1" applyFill="1" applyBorder="1" applyAlignment="1" applyProtection="1">
      <alignment horizontal="center" vertical="center"/>
      <protection hidden="1"/>
    </xf>
    <xf numFmtId="4" fontId="69" fillId="66" borderId="17" xfId="0" applyNumberFormat="1" applyFont="1" applyFill="1" applyBorder="1" applyAlignment="1">
      <alignment horizontal="center" vertical="center"/>
    </xf>
    <xf numFmtId="4" fontId="69" fillId="66" borderId="22" xfId="0" applyNumberFormat="1" applyFont="1" applyFill="1" applyBorder="1" applyAlignment="1">
      <alignment horizontal="center" vertical="center"/>
    </xf>
    <xf numFmtId="0" fontId="69" fillId="66" borderId="18" xfId="0" applyFont="1" applyFill="1" applyBorder="1" applyAlignment="1" applyProtection="1">
      <alignment horizontal="center" vertical="center"/>
      <protection hidden="1"/>
    </xf>
    <xf numFmtId="14" fontId="69" fillId="66" borderId="19" xfId="0" applyNumberFormat="1" applyFont="1" applyFill="1" applyBorder="1" applyAlignment="1" applyProtection="1">
      <alignment horizontal="center" vertical="center"/>
      <protection hidden="1"/>
    </xf>
    <xf numFmtId="4" fontId="69" fillId="66" borderId="19" xfId="0" applyNumberFormat="1" applyFont="1" applyFill="1" applyBorder="1" applyAlignment="1" applyProtection="1">
      <alignment horizontal="center" vertical="center"/>
      <protection hidden="1"/>
    </xf>
    <xf numFmtId="4" fontId="69" fillId="66" borderId="19" xfId="0" applyNumberFormat="1" applyFont="1" applyFill="1" applyBorder="1" applyAlignment="1">
      <alignment horizontal="center" vertical="center"/>
    </xf>
    <xf numFmtId="4" fontId="69" fillId="66" borderId="60" xfId="0" applyNumberFormat="1" applyFont="1" applyFill="1" applyBorder="1" applyAlignment="1">
      <alignment horizontal="center" vertical="center"/>
    </xf>
    <xf numFmtId="4" fontId="69" fillId="66" borderId="24" xfId="0" applyNumberFormat="1" applyFont="1" applyFill="1" applyBorder="1" applyAlignment="1">
      <alignment horizontal="center" vertical="center"/>
    </xf>
    <xf numFmtId="0" fontId="64" fillId="63" borderId="0" xfId="0" applyFont="1" applyFill="1" applyAlignment="1" applyProtection="1">
      <alignment vertical="top" wrapText="1"/>
    </xf>
    <xf numFmtId="16" fontId="60" fillId="0" borderId="0" xfId="0" applyNumberFormat="1" applyFont="1" applyAlignment="1" applyProtection="1">
      <alignment vertical="center"/>
    </xf>
    <xf numFmtId="0" fontId="60" fillId="0" borderId="0" xfId="0" applyNumberFormat="1" applyFont="1" applyAlignment="1" applyProtection="1">
      <alignment vertical="center"/>
    </xf>
    <xf numFmtId="4" fontId="60" fillId="0" borderId="0" xfId="0" applyNumberFormat="1" applyFont="1" applyAlignment="1" applyProtection="1">
      <alignment vertical="center"/>
    </xf>
    <xf numFmtId="4" fontId="58" fillId="0" borderId="59" xfId="0" applyNumberFormat="1" applyFont="1" applyFill="1" applyBorder="1" applyAlignment="1" applyProtection="1">
      <alignment horizontal="center" vertical="center"/>
      <protection locked="0"/>
    </xf>
    <xf numFmtId="10" fontId="6" fillId="0" borderId="0" xfId="0" applyNumberFormat="1" applyFont="1" applyAlignment="1">
      <alignment vertical="center"/>
    </xf>
    <xf numFmtId="172" fontId="58" fillId="68" borderId="59" xfId="0" applyNumberFormat="1" applyFont="1" applyFill="1" applyBorder="1" applyAlignment="1" applyProtection="1">
      <alignment horizontal="center" vertical="center"/>
      <protection locked="0"/>
    </xf>
    <xf numFmtId="0" fontId="70" fillId="64" borderId="58" xfId="0" applyFont="1" applyFill="1" applyBorder="1" applyAlignment="1" applyProtection="1">
      <alignment horizontal="center" vertical="center"/>
    </xf>
    <xf numFmtId="0" fontId="63" fillId="63" borderId="0" xfId="0" applyFont="1" applyFill="1" applyAlignment="1" applyProtection="1">
      <alignment vertical="center"/>
    </xf>
    <xf numFmtId="0" fontId="71" fillId="63" borderId="0" xfId="0" applyFont="1" applyFill="1" applyAlignment="1" applyProtection="1">
      <alignment vertical="center"/>
    </xf>
    <xf numFmtId="10" fontId="65" fillId="63" borderId="0" xfId="0" applyNumberFormat="1" applyFont="1" applyFill="1" applyAlignment="1" applyProtection="1">
      <alignment vertical="center"/>
    </xf>
    <xf numFmtId="0" fontId="65" fillId="63" borderId="0" xfId="0" applyFont="1" applyFill="1" applyAlignment="1" applyProtection="1">
      <alignment vertical="top" wrapText="1"/>
    </xf>
    <xf numFmtId="0" fontId="72" fillId="63" borderId="0" xfId="0" applyFont="1" applyFill="1" applyAlignment="1" applyProtection="1">
      <alignment vertical="top" wrapText="1"/>
    </xf>
    <xf numFmtId="0" fontId="67" fillId="67" borderId="61" xfId="0" applyFont="1" applyFill="1" applyBorder="1" applyAlignment="1" applyProtection="1">
      <alignment horizontal="center" vertical="center"/>
    </xf>
    <xf numFmtId="0" fontId="67" fillId="67" borderId="62" xfId="0" applyFont="1" applyFill="1" applyBorder="1" applyAlignment="1" applyProtection="1">
      <alignment horizontal="center" vertical="center"/>
    </xf>
    <xf numFmtId="0" fontId="62" fillId="65" borderId="0" xfId="0" applyFont="1" applyFill="1" applyAlignment="1" applyProtection="1">
      <alignment horizontal="center" vertical="center"/>
    </xf>
    <xf numFmtId="0" fontId="66" fillId="65" borderId="35" xfId="0" applyFont="1" applyFill="1" applyBorder="1" applyAlignment="1" applyProtection="1">
      <alignment horizontal="center" vertical="center" wrapText="1"/>
      <protection hidden="1"/>
    </xf>
    <xf numFmtId="0" fontId="66" fillId="65" borderId="27" xfId="0" applyFont="1" applyFill="1" applyBorder="1" applyAlignment="1" applyProtection="1">
      <alignment horizontal="center" vertical="center" wrapText="1"/>
      <protection hidden="1"/>
    </xf>
    <xf numFmtId="0" fontId="66" fillId="65" borderId="36" xfId="0" applyFont="1" applyFill="1" applyBorder="1" applyAlignment="1" applyProtection="1">
      <alignment horizontal="center" vertical="center" wrapText="1"/>
      <protection hidden="1"/>
    </xf>
    <xf numFmtId="0" fontId="66" fillId="65" borderId="28" xfId="0" applyFont="1" applyFill="1" applyBorder="1" applyAlignment="1" applyProtection="1">
      <alignment horizontal="center" vertical="center" wrapText="1"/>
      <protection hidden="1"/>
    </xf>
    <xf numFmtId="0" fontId="65" fillId="63" borderId="0" xfId="0" applyFont="1" applyFill="1" applyAlignment="1" applyProtection="1">
      <alignment horizontal="justify" vertical="center" wrapText="1"/>
    </xf>
    <xf numFmtId="0" fontId="66" fillId="65" borderId="37" xfId="0" applyFont="1" applyFill="1" applyBorder="1" applyAlignment="1" applyProtection="1">
      <alignment horizontal="center" vertical="center" wrapText="1"/>
      <protection hidden="1"/>
    </xf>
    <xf numFmtId="0" fontId="66" fillId="65" borderId="29" xfId="0" applyFont="1" applyFill="1" applyBorder="1" applyAlignment="1" applyProtection="1">
      <alignment horizontal="center" vertical="center" wrapText="1"/>
      <protection hidden="1"/>
    </xf>
    <xf numFmtId="0" fontId="72" fillId="63" borderId="0" xfId="0" applyFont="1" applyFill="1" applyAlignment="1" applyProtection="1">
      <alignment horizontal="left" vertical="top" wrapText="1"/>
    </xf>
    <xf numFmtId="3" fontId="57" fillId="0" borderId="13" xfId="0" applyNumberFormat="1" applyFont="1" applyFill="1" applyBorder="1" applyAlignment="1">
      <alignment horizontal="center" vertical="center"/>
    </xf>
    <xf numFmtId="0" fontId="10" fillId="26" borderId="35" xfId="0" applyFont="1" applyFill="1" applyBorder="1" applyAlignment="1" applyProtection="1">
      <alignment horizontal="center" vertical="center" wrapText="1"/>
      <protection hidden="1"/>
    </xf>
    <xf numFmtId="0" fontId="10" fillId="26" borderId="36" xfId="0" applyFont="1" applyFill="1" applyBorder="1" applyAlignment="1" applyProtection="1">
      <alignment horizontal="center" vertical="center" wrapText="1"/>
      <protection hidden="1"/>
    </xf>
    <xf numFmtId="0" fontId="10" fillId="26" borderId="37" xfId="0" applyFont="1" applyFill="1" applyBorder="1" applyAlignment="1" applyProtection="1">
      <alignment horizontal="center" vertical="center" wrapText="1"/>
      <protection hidden="1"/>
    </xf>
    <xf numFmtId="0" fontId="10" fillId="26" borderId="20" xfId="0" applyFont="1" applyFill="1" applyBorder="1" applyAlignment="1" applyProtection="1">
      <alignment horizontal="center" vertical="center" wrapText="1"/>
      <protection hidden="1"/>
    </xf>
    <xf numFmtId="0" fontId="10" fillId="26" borderId="21" xfId="0" applyFont="1" applyFill="1" applyBorder="1" applyAlignment="1" applyProtection="1">
      <alignment horizontal="center" vertical="center" wrapText="1"/>
      <protection hidden="1"/>
    </xf>
    <xf numFmtId="0" fontId="10" fillId="26" borderId="30" xfId="0" applyFont="1" applyFill="1" applyBorder="1" applyAlignment="1" applyProtection="1">
      <alignment horizontal="center" vertical="center" wrapText="1"/>
      <protection hidden="1"/>
    </xf>
    <xf numFmtId="0" fontId="5" fillId="25" borderId="13" xfId="0" applyFont="1" applyFill="1" applyBorder="1" applyAlignment="1" applyProtection="1">
      <alignment horizontal="center" vertical="center"/>
      <protection hidden="1"/>
    </xf>
    <xf numFmtId="0" fontId="5" fillId="25" borderId="0" xfId="0" applyFont="1" applyFill="1" applyBorder="1" applyAlignment="1" applyProtection="1">
      <alignment horizontal="center" vertical="center"/>
      <protection hidden="1"/>
    </xf>
    <xf numFmtId="0" fontId="3" fillId="0" borderId="3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5" fillId="25" borderId="10" xfId="0" applyFont="1" applyFill="1" applyBorder="1" applyAlignment="1" applyProtection="1">
      <alignment horizontal="center" vertical="center"/>
      <protection hidden="1"/>
    </xf>
    <xf numFmtId="0" fontId="5" fillId="25" borderId="11" xfId="0" applyFont="1" applyFill="1" applyBorder="1" applyAlignment="1" applyProtection="1">
      <alignment horizontal="center" vertical="center"/>
      <protection hidden="1"/>
    </xf>
    <xf numFmtId="0" fontId="5" fillId="25" borderId="12" xfId="0" applyFont="1" applyFill="1" applyBorder="1" applyAlignment="1" applyProtection="1">
      <alignment horizontal="center" vertical="center"/>
      <protection hidden="1"/>
    </xf>
  </cellXfs>
  <cellStyles count="284">
    <cellStyle name=" 1" xfId="1" xr:uid="{00000000-0005-0000-0000-000000000000}"/>
    <cellStyle name=" 1 2" xfId="2" xr:uid="{00000000-0005-0000-0000-000001000000}"/>
    <cellStyle name=" 1 2 2" xfId="3" xr:uid="{00000000-0005-0000-0000-000002000000}"/>
    <cellStyle name=" 1 3" xfId="4" xr:uid="{00000000-0005-0000-0000-000003000000}"/>
    <cellStyle name="_T.ADICIONALES" xfId="5" xr:uid="{00000000-0005-0000-0000-000004000000}"/>
    <cellStyle name="_T.ADICIONALES 2" xfId="6" xr:uid="{00000000-0005-0000-0000-000005000000}"/>
    <cellStyle name="1" xfId="7" xr:uid="{00000000-0005-0000-0000-000006000000}"/>
    <cellStyle name="1 2" xfId="8" xr:uid="{00000000-0005-0000-0000-000007000000}"/>
    <cellStyle name="1 2 2" xfId="9" xr:uid="{00000000-0005-0000-0000-000008000000}"/>
    <cellStyle name="1 2 3" xfId="10" xr:uid="{00000000-0005-0000-0000-000009000000}"/>
    <cellStyle name="1 3" xfId="11" xr:uid="{00000000-0005-0000-0000-00000A000000}"/>
    <cellStyle name="1 3 2" xfId="12" xr:uid="{00000000-0005-0000-0000-00000B000000}"/>
    <cellStyle name="1 4" xfId="13" xr:uid="{00000000-0005-0000-0000-00000C000000}"/>
    <cellStyle name="1 7" xfId="14" xr:uid="{00000000-0005-0000-0000-00000D000000}"/>
    <cellStyle name="1_PLANTILLA CD LP Y TA" xfId="15" xr:uid="{00000000-0005-0000-0000-00000E000000}"/>
    <cellStyle name="1_T_ADMINISTRATIVA" xfId="16" xr:uid="{00000000-0005-0000-0000-00000F000000}"/>
    <cellStyle name="1_T_ADMINISTRATIVA 2" xfId="17" xr:uid="{00000000-0005-0000-0000-000010000000}"/>
    <cellStyle name="1_T_ADMINISTRATIVA_1" xfId="18" xr:uid="{00000000-0005-0000-0000-000011000000}"/>
    <cellStyle name="1_T_ADMINISTRATIVA_1 2" xfId="19" xr:uid="{00000000-0005-0000-0000-000012000000}"/>
    <cellStyle name="20% - Énfasis1" xfId="20" builtinId="30" customBuiltin="1"/>
    <cellStyle name="20% - Énfasis1 2" xfId="21" xr:uid="{00000000-0005-0000-0000-000014000000}"/>
    <cellStyle name="20% - Énfasis1 2 2" xfId="22" xr:uid="{00000000-0005-0000-0000-000015000000}"/>
    <cellStyle name="20% - Énfasis1 3" xfId="23" xr:uid="{00000000-0005-0000-0000-000016000000}"/>
    <cellStyle name="20% - Énfasis1 4" xfId="24" xr:uid="{00000000-0005-0000-0000-000017000000}"/>
    <cellStyle name="20% - Énfasis2" xfId="25" builtinId="34" customBuiltin="1"/>
    <cellStyle name="20% - Énfasis2 2" xfId="26" xr:uid="{00000000-0005-0000-0000-000019000000}"/>
    <cellStyle name="20% - Énfasis2 2 2" xfId="27" xr:uid="{00000000-0005-0000-0000-00001A000000}"/>
    <cellStyle name="20% - Énfasis2 3" xfId="28" xr:uid="{00000000-0005-0000-0000-00001B000000}"/>
    <cellStyle name="20% - Énfasis2 4" xfId="29" xr:uid="{00000000-0005-0000-0000-00001C000000}"/>
    <cellStyle name="20% - Énfasis3" xfId="30" builtinId="38" customBuiltin="1"/>
    <cellStyle name="20% - Énfasis3 2" xfId="31" xr:uid="{00000000-0005-0000-0000-00001E000000}"/>
    <cellStyle name="20% - Énfasis3 2 2" xfId="32" xr:uid="{00000000-0005-0000-0000-00001F000000}"/>
    <cellStyle name="20% - Énfasis3 3" xfId="33" xr:uid="{00000000-0005-0000-0000-000020000000}"/>
    <cellStyle name="20% - Énfasis3 4" xfId="34" xr:uid="{00000000-0005-0000-0000-000021000000}"/>
    <cellStyle name="20% - Énfasis4" xfId="35" builtinId="42" customBuiltin="1"/>
    <cellStyle name="20% - Énfasis4 2" xfId="36" xr:uid="{00000000-0005-0000-0000-000023000000}"/>
    <cellStyle name="20% - Énfasis4 2 2" xfId="37" xr:uid="{00000000-0005-0000-0000-000024000000}"/>
    <cellStyle name="20% - Énfasis4 3" xfId="38" xr:uid="{00000000-0005-0000-0000-000025000000}"/>
    <cellStyle name="20% - Énfasis4 4" xfId="39" xr:uid="{00000000-0005-0000-0000-000026000000}"/>
    <cellStyle name="20% - Énfasis5" xfId="40" builtinId="46" customBuiltin="1"/>
    <cellStyle name="20% - Énfasis5 2" xfId="41" xr:uid="{00000000-0005-0000-0000-000028000000}"/>
    <cellStyle name="20% - Énfasis5 2 2" xfId="42" xr:uid="{00000000-0005-0000-0000-000029000000}"/>
    <cellStyle name="20% - Énfasis5 3" xfId="43" xr:uid="{00000000-0005-0000-0000-00002A000000}"/>
    <cellStyle name="20% - Énfasis5 4" xfId="44" xr:uid="{00000000-0005-0000-0000-00002B000000}"/>
    <cellStyle name="20% - Énfasis6" xfId="45" builtinId="50" customBuiltin="1"/>
    <cellStyle name="20% - Énfasis6 2" xfId="46" xr:uid="{00000000-0005-0000-0000-00002D000000}"/>
    <cellStyle name="20% - Énfasis6 2 2" xfId="47" xr:uid="{00000000-0005-0000-0000-00002E000000}"/>
    <cellStyle name="20% - Énfasis6 3" xfId="48" xr:uid="{00000000-0005-0000-0000-00002F000000}"/>
    <cellStyle name="20% - Énfasis6 4" xfId="49" xr:uid="{00000000-0005-0000-0000-000030000000}"/>
    <cellStyle name="40% - Énfasis1" xfId="50" builtinId="31" customBuiltin="1"/>
    <cellStyle name="40% - Énfasis1 2" xfId="51" xr:uid="{00000000-0005-0000-0000-000032000000}"/>
    <cellStyle name="40% - Énfasis1 2 2" xfId="52" xr:uid="{00000000-0005-0000-0000-000033000000}"/>
    <cellStyle name="40% - Énfasis1 3" xfId="53" xr:uid="{00000000-0005-0000-0000-000034000000}"/>
    <cellStyle name="40% - Énfasis1 4" xfId="54" xr:uid="{00000000-0005-0000-0000-000035000000}"/>
    <cellStyle name="40% - Énfasis2" xfId="55" builtinId="35" customBuiltin="1"/>
    <cellStyle name="40% - Énfasis2 2" xfId="56" xr:uid="{00000000-0005-0000-0000-000037000000}"/>
    <cellStyle name="40% - Énfasis2 2 2" xfId="57" xr:uid="{00000000-0005-0000-0000-000038000000}"/>
    <cellStyle name="40% - Énfasis2 3" xfId="58" xr:uid="{00000000-0005-0000-0000-000039000000}"/>
    <cellStyle name="40% - Énfasis2 4" xfId="59" xr:uid="{00000000-0005-0000-0000-00003A000000}"/>
    <cellStyle name="40% - Énfasis3" xfId="60" builtinId="39" customBuiltin="1"/>
    <cellStyle name="40% - Énfasis3 2" xfId="61" xr:uid="{00000000-0005-0000-0000-00003C000000}"/>
    <cellStyle name="40% - Énfasis3 2 2" xfId="62" xr:uid="{00000000-0005-0000-0000-00003D000000}"/>
    <cellStyle name="40% - Énfasis3 3" xfId="63" xr:uid="{00000000-0005-0000-0000-00003E000000}"/>
    <cellStyle name="40% - Énfasis3 4" xfId="64" xr:uid="{00000000-0005-0000-0000-00003F000000}"/>
    <cellStyle name="40% - Énfasis4" xfId="65" builtinId="43" customBuiltin="1"/>
    <cellStyle name="40% - Énfasis4 2" xfId="66" xr:uid="{00000000-0005-0000-0000-000041000000}"/>
    <cellStyle name="40% - Énfasis4 2 2" xfId="67" xr:uid="{00000000-0005-0000-0000-000042000000}"/>
    <cellStyle name="40% - Énfasis4 3" xfId="68" xr:uid="{00000000-0005-0000-0000-000043000000}"/>
    <cellStyle name="40% - Énfasis4 4" xfId="69" xr:uid="{00000000-0005-0000-0000-000044000000}"/>
    <cellStyle name="40% - Énfasis5" xfId="70" builtinId="47" customBuiltin="1"/>
    <cellStyle name="40% - Énfasis5 2" xfId="71" xr:uid="{00000000-0005-0000-0000-000046000000}"/>
    <cellStyle name="40% - Énfasis5 2 2" xfId="72" xr:uid="{00000000-0005-0000-0000-000047000000}"/>
    <cellStyle name="40% - Énfasis5 3" xfId="73" xr:uid="{00000000-0005-0000-0000-000048000000}"/>
    <cellStyle name="40% - Énfasis5 4" xfId="74" xr:uid="{00000000-0005-0000-0000-000049000000}"/>
    <cellStyle name="40% - Énfasis6" xfId="75" builtinId="51" customBuiltin="1"/>
    <cellStyle name="40% - Énfasis6 2" xfId="76" xr:uid="{00000000-0005-0000-0000-00004B000000}"/>
    <cellStyle name="40% - Énfasis6 2 2" xfId="77" xr:uid="{00000000-0005-0000-0000-00004C000000}"/>
    <cellStyle name="40% - Énfasis6 3" xfId="78" xr:uid="{00000000-0005-0000-0000-00004D000000}"/>
    <cellStyle name="40% - Énfasis6 4" xfId="79" xr:uid="{00000000-0005-0000-0000-00004E000000}"/>
    <cellStyle name="60% - Énfasis1" xfId="80" builtinId="32" customBuiltin="1"/>
    <cellStyle name="60% - Énfasis1 2" xfId="81" xr:uid="{00000000-0005-0000-0000-000050000000}"/>
    <cellStyle name="60% - Énfasis1 2 2" xfId="82" xr:uid="{00000000-0005-0000-0000-000051000000}"/>
    <cellStyle name="60% - Énfasis1 3" xfId="83" xr:uid="{00000000-0005-0000-0000-000052000000}"/>
    <cellStyle name="60% - Énfasis2" xfId="84" builtinId="36" customBuiltin="1"/>
    <cellStyle name="60% - Énfasis2 2" xfId="85" xr:uid="{00000000-0005-0000-0000-000054000000}"/>
    <cellStyle name="60% - Énfasis2 2 2" xfId="86" xr:uid="{00000000-0005-0000-0000-000055000000}"/>
    <cellStyle name="60% - Énfasis2 3" xfId="87" xr:uid="{00000000-0005-0000-0000-000056000000}"/>
    <cellStyle name="60% - Énfasis3" xfId="88" builtinId="40" customBuiltin="1"/>
    <cellStyle name="60% - Énfasis3 2" xfId="89" xr:uid="{00000000-0005-0000-0000-000058000000}"/>
    <cellStyle name="60% - Énfasis3 2 2" xfId="90" xr:uid="{00000000-0005-0000-0000-000059000000}"/>
    <cellStyle name="60% - Énfasis3 3" xfId="91" xr:uid="{00000000-0005-0000-0000-00005A000000}"/>
    <cellStyle name="60% - Énfasis4" xfId="92" builtinId="44" customBuiltin="1"/>
    <cellStyle name="60% - Énfasis4 2" xfId="93" xr:uid="{00000000-0005-0000-0000-00005C000000}"/>
    <cellStyle name="60% - Énfasis4 2 2" xfId="94" xr:uid="{00000000-0005-0000-0000-00005D000000}"/>
    <cellStyle name="60% - Énfasis4 3" xfId="95" xr:uid="{00000000-0005-0000-0000-00005E000000}"/>
    <cellStyle name="60% - Énfasis5" xfId="96" builtinId="48" customBuiltin="1"/>
    <cellStyle name="60% - Énfasis5 2" xfId="97" xr:uid="{00000000-0005-0000-0000-000060000000}"/>
    <cellStyle name="60% - Énfasis5 2 2" xfId="98" xr:uid="{00000000-0005-0000-0000-000061000000}"/>
    <cellStyle name="60% - Énfasis5 3" xfId="99" xr:uid="{00000000-0005-0000-0000-000062000000}"/>
    <cellStyle name="60% - Énfasis6" xfId="100" builtinId="52" customBuiltin="1"/>
    <cellStyle name="60% - Énfasis6 2" xfId="101" xr:uid="{00000000-0005-0000-0000-000064000000}"/>
    <cellStyle name="60% - Énfasis6 2 2" xfId="102" xr:uid="{00000000-0005-0000-0000-000065000000}"/>
    <cellStyle name="60% - Énfasis6 3" xfId="103" xr:uid="{00000000-0005-0000-0000-000066000000}"/>
    <cellStyle name="Buena 2" xfId="104" xr:uid="{00000000-0005-0000-0000-000067000000}"/>
    <cellStyle name="Buena 2 2" xfId="105" xr:uid="{00000000-0005-0000-0000-000068000000}"/>
    <cellStyle name="Buena 3" xfId="106" xr:uid="{00000000-0005-0000-0000-000069000000}"/>
    <cellStyle name="Bueno" xfId="107" builtinId="26" customBuiltin="1"/>
    <cellStyle name="Cálculo" xfId="108" builtinId="22" customBuiltin="1"/>
    <cellStyle name="Cálculo 2" xfId="109" xr:uid="{00000000-0005-0000-0000-00006C000000}"/>
    <cellStyle name="Cálculo 2 2" xfId="110" xr:uid="{00000000-0005-0000-0000-00006D000000}"/>
    <cellStyle name="Cálculo 3" xfId="111" xr:uid="{00000000-0005-0000-0000-00006E000000}"/>
    <cellStyle name="Cancel" xfId="112" xr:uid="{00000000-0005-0000-0000-00006F000000}"/>
    <cellStyle name="Cancel 2" xfId="113" xr:uid="{00000000-0005-0000-0000-000070000000}"/>
    <cellStyle name="Celda de comprobación" xfId="114" builtinId="23" customBuiltin="1"/>
    <cellStyle name="Celda de comprobación 2" xfId="115" xr:uid="{00000000-0005-0000-0000-000072000000}"/>
    <cellStyle name="Celda de comprobación 2 2" xfId="116" xr:uid="{00000000-0005-0000-0000-000073000000}"/>
    <cellStyle name="Celda de comprobación 3" xfId="117" xr:uid="{00000000-0005-0000-0000-000074000000}"/>
    <cellStyle name="Celda vinculada" xfId="118" builtinId="24" customBuiltin="1"/>
    <cellStyle name="Celda vinculada 2" xfId="119" xr:uid="{00000000-0005-0000-0000-000076000000}"/>
    <cellStyle name="Celda vinculada 2 2" xfId="120" xr:uid="{00000000-0005-0000-0000-000077000000}"/>
    <cellStyle name="Celda vinculada 3" xfId="121" xr:uid="{00000000-0005-0000-0000-000078000000}"/>
    <cellStyle name="Encabezado 1" xfId="122" builtinId="16" customBuiltin="1"/>
    <cellStyle name="Encabezado 4" xfId="123" builtinId="19" customBuiltin="1"/>
    <cellStyle name="Encabezado 4 2" xfId="124" xr:uid="{00000000-0005-0000-0000-00007B000000}"/>
    <cellStyle name="Encabezado 4 2 2" xfId="125" xr:uid="{00000000-0005-0000-0000-00007C000000}"/>
    <cellStyle name="Encabezado 4 3" xfId="126" xr:uid="{00000000-0005-0000-0000-00007D000000}"/>
    <cellStyle name="Énfasis1" xfId="127" builtinId="29" customBuiltin="1"/>
    <cellStyle name="Énfasis1 2" xfId="128" xr:uid="{00000000-0005-0000-0000-00007F000000}"/>
    <cellStyle name="Énfasis1 2 2" xfId="129" xr:uid="{00000000-0005-0000-0000-000080000000}"/>
    <cellStyle name="Énfasis1 3" xfId="130" xr:uid="{00000000-0005-0000-0000-000081000000}"/>
    <cellStyle name="Énfasis2" xfId="131" builtinId="33" customBuiltin="1"/>
    <cellStyle name="Énfasis2 2" xfId="132" xr:uid="{00000000-0005-0000-0000-000083000000}"/>
    <cellStyle name="Énfasis2 2 2" xfId="133" xr:uid="{00000000-0005-0000-0000-000084000000}"/>
    <cellStyle name="Énfasis2 3" xfId="134" xr:uid="{00000000-0005-0000-0000-000085000000}"/>
    <cellStyle name="Énfasis3" xfId="135" builtinId="37" customBuiltin="1"/>
    <cellStyle name="Énfasis3 2" xfId="136" xr:uid="{00000000-0005-0000-0000-000087000000}"/>
    <cellStyle name="Énfasis3 2 2" xfId="137" xr:uid="{00000000-0005-0000-0000-000088000000}"/>
    <cellStyle name="Énfasis3 3" xfId="138" xr:uid="{00000000-0005-0000-0000-000089000000}"/>
    <cellStyle name="Énfasis4" xfId="139" builtinId="41" customBuiltin="1"/>
    <cellStyle name="Énfasis4 2" xfId="140" xr:uid="{00000000-0005-0000-0000-00008B000000}"/>
    <cellStyle name="Énfasis4 2 2" xfId="141" xr:uid="{00000000-0005-0000-0000-00008C000000}"/>
    <cellStyle name="Énfasis4 3" xfId="142" xr:uid="{00000000-0005-0000-0000-00008D000000}"/>
    <cellStyle name="Énfasis5" xfId="143" builtinId="45" customBuiltin="1"/>
    <cellStyle name="Énfasis5 2" xfId="144" xr:uid="{00000000-0005-0000-0000-00008F000000}"/>
    <cellStyle name="Énfasis5 2 2" xfId="145" xr:uid="{00000000-0005-0000-0000-000090000000}"/>
    <cellStyle name="Énfasis5 3" xfId="146" xr:uid="{00000000-0005-0000-0000-000091000000}"/>
    <cellStyle name="Énfasis6" xfId="147" builtinId="49" customBuiltin="1"/>
    <cellStyle name="Énfasis6 2" xfId="148" xr:uid="{00000000-0005-0000-0000-000093000000}"/>
    <cellStyle name="Énfasis6 2 2" xfId="149" xr:uid="{00000000-0005-0000-0000-000094000000}"/>
    <cellStyle name="Énfasis6 3" xfId="150" xr:uid="{00000000-0005-0000-0000-000095000000}"/>
    <cellStyle name="Entrada" xfId="151" builtinId="20" customBuiltin="1"/>
    <cellStyle name="Entrada 2" xfId="152" xr:uid="{00000000-0005-0000-0000-000097000000}"/>
    <cellStyle name="Entrada 2 2" xfId="153" xr:uid="{00000000-0005-0000-0000-000098000000}"/>
    <cellStyle name="Entrada 3" xfId="154" xr:uid="{00000000-0005-0000-0000-000099000000}"/>
    <cellStyle name="Estilo 1" xfId="155" xr:uid="{00000000-0005-0000-0000-00009A000000}"/>
    <cellStyle name="Estilo 1 2" xfId="156" xr:uid="{00000000-0005-0000-0000-00009B000000}"/>
    <cellStyle name="Estilo 1 2 2" xfId="157" xr:uid="{00000000-0005-0000-0000-00009C000000}"/>
    <cellStyle name="Estilo 1 2 2 2" xfId="158" xr:uid="{00000000-0005-0000-0000-00009D000000}"/>
    <cellStyle name="Estilo 1 3" xfId="159" xr:uid="{00000000-0005-0000-0000-00009E000000}"/>
    <cellStyle name="Estilo 1 3 2" xfId="160" xr:uid="{00000000-0005-0000-0000-00009F000000}"/>
    <cellStyle name="Estilo 1 4" xfId="161" xr:uid="{00000000-0005-0000-0000-0000A0000000}"/>
    <cellStyle name="Estilo 1 4 2" xfId="162" xr:uid="{00000000-0005-0000-0000-0000A1000000}"/>
    <cellStyle name="Estilo 1 4 3" xfId="163" xr:uid="{00000000-0005-0000-0000-0000A2000000}"/>
    <cellStyle name="Estilo 1 5" xfId="164" xr:uid="{00000000-0005-0000-0000-0000A3000000}"/>
    <cellStyle name="Estilo 1_T_ADMINISTRATIVA" xfId="165" xr:uid="{00000000-0005-0000-0000-0000A4000000}"/>
    <cellStyle name="Euro" xfId="166" xr:uid="{00000000-0005-0000-0000-0000A5000000}"/>
    <cellStyle name="Euro 2" xfId="167" xr:uid="{00000000-0005-0000-0000-0000A6000000}"/>
    <cellStyle name="Euro 2 2" xfId="168" xr:uid="{00000000-0005-0000-0000-0000A7000000}"/>
    <cellStyle name="Euro 3" xfId="169" xr:uid="{00000000-0005-0000-0000-0000A8000000}"/>
    <cellStyle name="Euro 3 2" xfId="170" xr:uid="{00000000-0005-0000-0000-0000A9000000}"/>
    <cellStyle name="Euro 4" xfId="171" xr:uid="{00000000-0005-0000-0000-0000AA000000}"/>
    <cellStyle name="Excel Built-in Normal" xfId="172" xr:uid="{00000000-0005-0000-0000-0000AB000000}"/>
    <cellStyle name="Incorrecto" xfId="173" builtinId="27" customBuiltin="1"/>
    <cellStyle name="Incorrecto 2" xfId="174" xr:uid="{00000000-0005-0000-0000-0000AD000000}"/>
    <cellStyle name="Incorrecto 2 2" xfId="175" xr:uid="{00000000-0005-0000-0000-0000AE000000}"/>
    <cellStyle name="Incorrecto 3" xfId="176" xr:uid="{00000000-0005-0000-0000-0000AF000000}"/>
    <cellStyle name="Millares 2" xfId="177" xr:uid="{00000000-0005-0000-0000-0000B0000000}"/>
    <cellStyle name="Millares 2 2" xfId="178" xr:uid="{00000000-0005-0000-0000-0000B1000000}"/>
    <cellStyle name="Millares 3" xfId="179" xr:uid="{00000000-0005-0000-0000-0000B2000000}"/>
    <cellStyle name="Millares 4" xfId="180" xr:uid="{00000000-0005-0000-0000-0000B3000000}"/>
    <cellStyle name="Millares 5" xfId="181" xr:uid="{00000000-0005-0000-0000-0000B4000000}"/>
    <cellStyle name="Moneda 2" xfId="182" xr:uid="{00000000-0005-0000-0000-0000B5000000}"/>
    <cellStyle name="Moneda 2 2" xfId="183" xr:uid="{00000000-0005-0000-0000-0000B6000000}"/>
    <cellStyle name="Moneda 3" xfId="184" xr:uid="{00000000-0005-0000-0000-0000B7000000}"/>
    <cellStyle name="Moneda 5" xfId="185" xr:uid="{00000000-0005-0000-0000-0000B8000000}"/>
    <cellStyle name="Neutral" xfId="186" builtinId="28" customBuiltin="1"/>
    <cellStyle name="Neutral 2" xfId="187" xr:uid="{00000000-0005-0000-0000-0000BA000000}"/>
    <cellStyle name="Neutral 2 2" xfId="188" xr:uid="{00000000-0005-0000-0000-0000BB000000}"/>
    <cellStyle name="Neutral 3" xfId="189" xr:uid="{00000000-0005-0000-0000-0000BC000000}"/>
    <cellStyle name="Normal" xfId="0" builtinId="0"/>
    <cellStyle name="Normal 10" xfId="190" xr:uid="{00000000-0005-0000-0000-0000BE000000}"/>
    <cellStyle name="Normal 10 2" xfId="191" xr:uid="{00000000-0005-0000-0000-0000BF000000}"/>
    <cellStyle name="Normal 10 3" xfId="192" xr:uid="{00000000-0005-0000-0000-0000C0000000}"/>
    <cellStyle name="Normal 11" xfId="193" xr:uid="{00000000-0005-0000-0000-0000C1000000}"/>
    <cellStyle name="Normal 12" xfId="194" xr:uid="{00000000-0005-0000-0000-0000C2000000}"/>
    <cellStyle name="Normal 12 2" xfId="195" xr:uid="{00000000-0005-0000-0000-0000C3000000}"/>
    <cellStyle name="Normal 12 3" xfId="196" xr:uid="{00000000-0005-0000-0000-0000C4000000}"/>
    <cellStyle name="Normal 12 4" xfId="197" xr:uid="{00000000-0005-0000-0000-0000C5000000}"/>
    <cellStyle name="Normal 13" xfId="198" xr:uid="{00000000-0005-0000-0000-0000C6000000}"/>
    <cellStyle name="Normal 13 2" xfId="199" xr:uid="{00000000-0005-0000-0000-0000C7000000}"/>
    <cellStyle name="Normal 14" xfId="200" xr:uid="{00000000-0005-0000-0000-0000C8000000}"/>
    <cellStyle name="Normal 15" xfId="201" xr:uid="{00000000-0005-0000-0000-0000C9000000}"/>
    <cellStyle name="Normal 15 2"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 2" xfId="208" xr:uid="{00000000-0005-0000-0000-0000D0000000}"/>
    <cellStyle name="Normal 2 2 2" xfId="209" xr:uid="{00000000-0005-0000-0000-0000D1000000}"/>
    <cellStyle name="Normal 2 3" xfId="210" xr:uid="{00000000-0005-0000-0000-0000D2000000}"/>
    <cellStyle name="Normal 2 3 2" xfId="211" xr:uid="{00000000-0005-0000-0000-0000D3000000}"/>
    <cellStyle name="Normal 2 3 3" xfId="212" xr:uid="{00000000-0005-0000-0000-0000D4000000}"/>
    <cellStyle name="Normal 2 4" xfId="213" xr:uid="{00000000-0005-0000-0000-0000D5000000}"/>
    <cellStyle name="Normal 2 5" xfId="214" xr:uid="{00000000-0005-0000-0000-0000D6000000}"/>
    <cellStyle name="Normal 20" xfId="215" xr:uid="{00000000-0005-0000-0000-0000D7000000}"/>
    <cellStyle name="Normal 21" xfId="216" xr:uid="{00000000-0005-0000-0000-0000D8000000}"/>
    <cellStyle name="Normal 23" xfId="217" xr:uid="{00000000-0005-0000-0000-0000D9000000}"/>
    <cellStyle name="Normal 24" xfId="218" xr:uid="{00000000-0005-0000-0000-0000DA000000}"/>
    <cellStyle name="Normal 25" xfId="219" xr:uid="{00000000-0005-0000-0000-0000DB000000}"/>
    <cellStyle name="Normal 26" xfId="220" xr:uid="{00000000-0005-0000-0000-0000DC000000}"/>
    <cellStyle name="Normal 3" xfId="221" xr:uid="{00000000-0005-0000-0000-0000DD000000}"/>
    <cellStyle name="Normal 3 2" xfId="222" xr:uid="{00000000-0005-0000-0000-0000DE000000}"/>
    <cellStyle name="Normal 3 2 2" xfId="223" xr:uid="{00000000-0005-0000-0000-0000DF000000}"/>
    <cellStyle name="Normal 3 3" xfId="224" xr:uid="{00000000-0005-0000-0000-0000E0000000}"/>
    <cellStyle name="Normal 4" xfId="225" xr:uid="{00000000-0005-0000-0000-0000E1000000}"/>
    <cellStyle name="Normal 4 2" xfId="226" xr:uid="{00000000-0005-0000-0000-0000E2000000}"/>
    <cellStyle name="Normal 4 2 2" xfId="227" xr:uid="{00000000-0005-0000-0000-0000E3000000}"/>
    <cellStyle name="Normal 4 3" xfId="228" xr:uid="{00000000-0005-0000-0000-0000E4000000}"/>
    <cellStyle name="Normal 5" xfId="229" xr:uid="{00000000-0005-0000-0000-0000E5000000}"/>
    <cellStyle name="Normal 5 2" xfId="230" xr:uid="{00000000-0005-0000-0000-0000E6000000}"/>
    <cellStyle name="Normal 5 3" xfId="231" xr:uid="{00000000-0005-0000-0000-0000E7000000}"/>
    <cellStyle name="Normal 6" xfId="232" xr:uid="{00000000-0005-0000-0000-0000E8000000}"/>
    <cellStyle name="Normal 6 2" xfId="233" xr:uid="{00000000-0005-0000-0000-0000E9000000}"/>
    <cellStyle name="Normal 6 2 2" xfId="234" xr:uid="{00000000-0005-0000-0000-0000EA000000}"/>
    <cellStyle name="Normal 6 2 3" xfId="235" xr:uid="{00000000-0005-0000-0000-0000EB000000}"/>
    <cellStyle name="Normal 6 3" xfId="236" xr:uid="{00000000-0005-0000-0000-0000EC000000}"/>
    <cellStyle name="Normal 6 4" xfId="237" xr:uid="{00000000-0005-0000-0000-0000ED000000}"/>
    <cellStyle name="Normal 7" xfId="238" xr:uid="{00000000-0005-0000-0000-0000EE000000}"/>
    <cellStyle name="Normal 7 2" xfId="239" xr:uid="{00000000-0005-0000-0000-0000EF000000}"/>
    <cellStyle name="Normal 8" xfId="240" xr:uid="{00000000-0005-0000-0000-0000F0000000}"/>
    <cellStyle name="Normal 9" xfId="241" xr:uid="{00000000-0005-0000-0000-0000F1000000}"/>
    <cellStyle name="Notas 2" xfId="242" xr:uid="{00000000-0005-0000-0000-0000F2000000}"/>
    <cellStyle name="Notas 2 2" xfId="243" xr:uid="{00000000-0005-0000-0000-0000F3000000}"/>
    <cellStyle name="Notas 2 3" xfId="244" xr:uid="{00000000-0005-0000-0000-0000F4000000}"/>
    <cellStyle name="Notas 3" xfId="245" xr:uid="{00000000-0005-0000-0000-0000F5000000}"/>
    <cellStyle name="Notas 4" xfId="246" xr:uid="{00000000-0005-0000-0000-0000F6000000}"/>
    <cellStyle name="Notas 5" xfId="247" xr:uid="{00000000-0005-0000-0000-0000F7000000}"/>
    <cellStyle name="Notas 6" xfId="248" xr:uid="{00000000-0005-0000-0000-0000F8000000}"/>
    <cellStyle name="Porcentaje" xfId="249" builtinId="5"/>
    <cellStyle name="Porcentaje 2" xfId="250" xr:uid="{00000000-0005-0000-0000-0000FA000000}"/>
    <cellStyle name="Porcentual 2" xfId="251" xr:uid="{00000000-0005-0000-0000-0000FB000000}"/>
    <cellStyle name="Porcentual 2 2" xfId="252" xr:uid="{00000000-0005-0000-0000-0000FC000000}"/>
    <cellStyle name="Salida" xfId="253" builtinId="21" customBuiltin="1"/>
    <cellStyle name="Salida 2" xfId="254" xr:uid="{00000000-0005-0000-0000-0000FE000000}"/>
    <cellStyle name="Salida 2 2" xfId="255" xr:uid="{00000000-0005-0000-0000-0000FF000000}"/>
    <cellStyle name="Salida 3" xfId="256" xr:uid="{00000000-0005-0000-0000-000000010000}"/>
    <cellStyle name="Texto de advertencia" xfId="257" builtinId="11" customBuiltin="1"/>
    <cellStyle name="Texto de advertencia 2" xfId="258" xr:uid="{00000000-0005-0000-0000-000002010000}"/>
    <cellStyle name="Texto de advertencia 2 2" xfId="259" xr:uid="{00000000-0005-0000-0000-000003010000}"/>
    <cellStyle name="Texto de advertencia 3" xfId="260" xr:uid="{00000000-0005-0000-0000-000004010000}"/>
    <cellStyle name="Texto explicativo" xfId="261" builtinId="53" customBuiltin="1"/>
    <cellStyle name="Texto explicativo 2" xfId="262" xr:uid="{00000000-0005-0000-0000-000006010000}"/>
    <cellStyle name="Texto explicativo 2 2" xfId="263" xr:uid="{00000000-0005-0000-0000-000007010000}"/>
    <cellStyle name="Texto explicativo 3" xfId="264" xr:uid="{00000000-0005-0000-0000-000008010000}"/>
    <cellStyle name="Título" xfId="265" builtinId="15" customBuiltin="1"/>
    <cellStyle name="Título 1 2" xfId="266" xr:uid="{00000000-0005-0000-0000-00000A010000}"/>
    <cellStyle name="Título 1 2 2" xfId="267" xr:uid="{00000000-0005-0000-0000-00000B010000}"/>
    <cellStyle name="Título 1 3" xfId="268" xr:uid="{00000000-0005-0000-0000-00000C010000}"/>
    <cellStyle name="Título 2" xfId="269" builtinId="17" customBuiltin="1"/>
    <cellStyle name="Título 2 2" xfId="270" xr:uid="{00000000-0005-0000-0000-00000E010000}"/>
    <cellStyle name="Título 2 2 2" xfId="271" xr:uid="{00000000-0005-0000-0000-00000F010000}"/>
    <cellStyle name="Título 2 3" xfId="272" xr:uid="{00000000-0005-0000-0000-000010010000}"/>
    <cellStyle name="Título 3" xfId="273" builtinId="18" customBuiltin="1"/>
    <cellStyle name="Título 3 2" xfId="274" xr:uid="{00000000-0005-0000-0000-000012010000}"/>
    <cellStyle name="Título 3 2 2" xfId="275" xr:uid="{00000000-0005-0000-0000-000013010000}"/>
    <cellStyle name="Título 3 3" xfId="276" xr:uid="{00000000-0005-0000-0000-000014010000}"/>
    <cellStyle name="Título 4" xfId="277" xr:uid="{00000000-0005-0000-0000-000015010000}"/>
    <cellStyle name="Título 4 2" xfId="278" xr:uid="{00000000-0005-0000-0000-000016010000}"/>
    <cellStyle name="Título 5" xfId="279" xr:uid="{00000000-0005-0000-0000-000017010000}"/>
    <cellStyle name="Total" xfId="280" builtinId="25" customBuiltin="1"/>
    <cellStyle name="Total 2" xfId="281" xr:uid="{00000000-0005-0000-0000-000019010000}"/>
    <cellStyle name="Total 2 2" xfId="282" xr:uid="{00000000-0005-0000-0000-00001A010000}"/>
    <cellStyle name="Total 3" xfId="283" xr:uid="{00000000-0005-0000-0000-00001B010000}"/>
  </cellStyles>
  <dxfs count="8">
    <dxf>
      <fill>
        <patternFill>
          <bgColor theme="0" tint="-0.14996795556505021"/>
        </patternFill>
      </fill>
    </dxf>
    <dxf>
      <font>
        <b val="0"/>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rgb="FF000000"/>
        </left>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theme="9" tint="-0.249977111117893"/>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2</xdr:col>
      <xdr:colOff>65858</xdr:colOff>
      <xdr:row>5</xdr:row>
      <xdr:rowOff>57150</xdr:rowOff>
    </xdr:from>
    <xdr:to>
      <xdr:col>2</xdr:col>
      <xdr:colOff>460192</xdr:colOff>
      <xdr:row>7</xdr:row>
      <xdr:rowOff>59054</xdr:rowOff>
    </xdr:to>
    <xdr:pic>
      <xdr:nvPicPr>
        <xdr:cNvPr id="5" name="Gráfico 4" descr="Dinero con relleno sólido">
          <a:extLst>
            <a:ext uri="{FF2B5EF4-FFF2-40B4-BE49-F238E27FC236}">
              <a16:creationId xmlns:a16="http://schemas.microsoft.com/office/drawing/2014/main" id="{CAC07D33-C73E-406B-A1C7-4608897389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5933" y="1304925"/>
          <a:ext cx="394334" cy="379094"/>
        </a:xfrm>
        <a:prstGeom prst="rect">
          <a:avLst/>
        </a:prstGeom>
      </xdr:spPr>
    </xdr:pic>
    <xdr:clientData/>
  </xdr:twoCellAnchor>
  <xdr:twoCellAnchor editAs="oneCell">
    <xdr:from>
      <xdr:col>2</xdr:col>
      <xdr:colOff>80001</xdr:colOff>
      <xdr:row>9</xdr:row>
      <xdr:rowOff>95250</xdr:rowOff>
    </xdr:from>
    <xdr:to>
      <xdr:col>2</xdr:col>
      <xdr:colOff>400322</xdr:colOff>
      <xdr:row>11</xdr:row>
      <xdr:rowOff>21772</xdr:rowOff>
    </xdr:to>
    <xdr:pic>
      <xdr:nvPicPr>
        <xdr:cNvPr id="9" name="Gráfico 8" descr="Calendario con relleno sólido">
          <a:extLst>
            <a:ext uri="{FF2B5EF4-FFF2-40B4-BE49-F238E27FC236}">
              <a16:creationId xmlns:a16="http://schemas.microsoft.com/office/drawing/2014/main" id="{6058D52F-CB38-42F8-AC38-D6B0031D82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0076" y="2105025"/>
          <a:ext cx="310796" cy="303712"/>
        </a:xfrm>
        <a:prstGeom prst="rect">
          <a:avLst/>
        </a:prstGeom>
      </xdr:spPr>
    </xdr:pic>
    <xdr:clientData/>
  </xdr:twoCellAnchor>
  <xdr:twoCellAnchor editAs="oneCell">
    <xdr:from>
      <xdr:col>2</xdr:col>
      <xdr:colOff>87350</xdr:colOff>
      <xdr:row>7</xdr:row>
      <xdr:rowOff>133622</xdr:rowOff>
    </xdr:from>
    <xdr:to>
      <xdr:col>2</xdr:col>
      <xdr:colOff>379911</xdr:colOff>
      <xdr:row>9</xdr:row>
      <xdr:rowOff>22315</xdr:rowOff>
    </xdr:to>
    <xdr:pic>
      <xdr:nvPicPr>
        <xdr:cNvPr id="15" name="Gráfico 14" descr="Reloj de arena terminado con relleno sólido">
          <a:extLst>
            <a:ext uri="{FF2B5EF4-FFF2-40B4-BE49-F238E27FC236}">
              <a16:creationId xmlns:a16="http://schemas.microsoft.com/office/drawing/2014/main" id="{B025802E-A183-4F67-BBE5-638BE71907F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87425" y="1762397"/>
          <a:ext cx="292561" cy="265883"/>
        </a:xfrm>
        <a:prstGeom prst="rect">
          <a:avLst/>
        </a:prstGeom>
      </xdr:spPr>
    </xdr:pic>
    <xdr:clientData/>
  </xdr:twoCellAnchor>
  <xdr:twoCellAnchor>
    <xdr:from>
      <xdr:col>1</xdr:col>
      <xdr:colOff>49696</xdr:colOff>
      <xdr:row>0</xdr:row>
      <xdr:rowOff>33130</xdr:rowOff>
    </xdr:from>
    <xdr:to>
      <xdr:col>3</xdr:col>
      <xdr:colOff>141632</xdr:colOff>
      <xdr:row>1</xdr:row>
      <xdr:rowOff>21084</xdr:rowOff>
    </xdr:to>
    <xdr:pic>
      <xdr:nvPicPr>
        <xdr:cNvPr id="3" name="Imagen 2">
          <a:extLst>
            <a:ext uri="{FF2B5EF4-FFF2-40B4-BE49-F238E27FC236}">
              <a16:creationId xmlns:a16="http://schemas.microsoft.com/office/drawing/2014/main" id="{109B191F-BD77-4C28-A034-B82BD600591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0117" t="14325" r="12820" b="23526"/>
        <a:stretch>
          <a:fillRect/>
        </a:stretch>
      </xdr:blipFill>
      <xdr:spPr bwMode="auto">
        <a:xfrm>
          <a:off x="198783" y="33130"/>
          <a:ext cx="1176958" cy="426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6611206/Documents/Proyectos%20y%20Experiencia%20al%20Cliente/Simulador%20Tarjeta%20Extralinea%20-%20Efectivo%20al%20Instante%20y%20CD%20202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BA XL"/>
      <sheetName val="UBA CD"/>
      <sheetName val="Cálculo TCEA"/>
      <sheetName val="Datos"/>
    </sheetNames>
    <sheetDataSet>
      <sheetData sheetId="0"/>
      <sheetData sheetId="1"/>
      <sheetData sheetId="2"/>
      <sheetData sheetId="3">
        <row r="3">
          <cell r="B3" t="str">
            <v>Sistema</v>
          </cell>
          <cell r="C3" t="str">
            <v>TEA</v>
          </cell>
        </row>
        <row r="4">
          <cell r="B4" t="str">
            <v>CD &lt;38</v>
          </cell>
          <cell r="C4">
            <v>0.26679999999999998</v>
          </cell>
        </row>
        <row r="5">
          <cell r="B5" t="str">
            <v>IC &lt;38</v>
          </cell>
          <cell r="C5">
            <v>0.54990000000000006</v>
          </cell>
        </row>
        <row r="7">
          <cell r="S7">
            <v>0.08</v>
          </cell>
          <cell r="U7">
            <v>8.4900000000000003E-2</v>
          </cell>
          <cell r="Y7">
            <v>7.9</v>
          </cell>
        </row>
        <row r="8">
          <cell r="S8">
            <v>0.09</v>
          </cell>
          <cell r="U8">
            <v>8.8999999999999996E-2</v>
          </cell>
        </row>
        <row r="9">
          <cell r="S9">
            <v>9.9000000000000005E-2</v>
          </cell>
          <cell r="U9">
            <v>8.9899999999999994E-2</v>
          </cell>
        </row>
        <row r="10">
          <cell r="S10">
            <v>9.9900000000000003E-2</v>
          </cell>
          <cell r="U10">
            <v>9.9000000000000005E-2</v>
          </cell>
        </row>
        <row r="11">
          <cell r="S11">
            <v>0.1255</v>
          </cell>
          <cell r="U11">
            <v>0.11899999999999999</v>
          </cell>
        </row>
        <row r="12">
          <cell r="S12">
            <v>0.12989999999999999</v>
          </cell>
          <cell r="U12">
            <v>0.11990000000000001</v>
          </cell>
        </row>
        <row r="13">
          <cell r="S13">
            <v>0.16689999999999999</v>
          </cell>
          <cell r="U13">
            <v>0.12989999999999999</v>
          </cell>
        </row>
        <row r="14">
          <cell r="S14">
            <v>0.1699</v>
          </cell>
          <cell r="U14">
            <v>0.1399</v>
          </cell>
        </row>
        <row r="15">
          <cell r="S15">
            <v>0.1802</v>
          </cell>
          <cell r="U15">
            <v>0.14990000000000001</v>
          </cell>
        </row>
        <row r="16">
          <cell r="S16">
            <v>0.19900000000000001</v>
          </cell>
          <cell r="U16">
            <v>0.1749</v>
          </cell>
        </row>
        <row r="17">
          <cell r="S17">
            <v>0.19989999999999999</v>
          </cell>
          <cell r="U17">
            <v>0.19989999999999999</v>
          </cell>
        </row>
        <row r="18">
          <cell r="S18">
            <v>0.2084</v>
          </cell>
          <cell r="U18">
            <v>0.22489999999999999</v>
          </cell>
        </row>
        <row r="19">
          <cell r="S19">
            <v>0.24990000000000001</v>
          </cell>
          <cell r="U19">
            <v>0.22989999999999999</v>
          </cell>
        </row>
        <row r="20">
          <cell r="S20">
            <v>0.26679999999999998</v>
          </cell>
          <cell r="U20">
            <v>0.24990000000000001</v>
          </cell>
        </row>
        <row r="21">
          <cell r="S21">
            <v>0.309</v>
          </cell>
          <cell r="U21">
            <v>0.26679999999999998</v>
          </cell>
        </row>
        <row r="22">
          <cell r="S22">
            <v>0.30990000000000001</v>
          </cell>
        </row>
        <row r="23">
          <cell r="S23">
            <v>0.34329999999999999</v>
          </cell>
        </row>
        <row r="24">
          <cell r="S24">
            <v>0.34989999999999999</v>
          </cell>
        </row>
        <row r="25">
          <cell r="S25">
            <v>0.37490000000000001</v>
          </cell>
        </row>
        <row r="26">
          <cell r="S26">
            <v>0.42409999999999998</v>
          </cell>
        </row>
        <row r="27">
          <cell r="S27">
            <v>0.45250000000000001</v>
          </cell>
        </row>
        <row r="28">
          <cell r="S28">
            <v>0.45760000000000001</v>
          </cell>
        </row>
        <row r="29">
          <cell r="S29">
            <v>0.50929999999999997</v>
          </cell>
        </row>
        <row r="30">
          <cell r="S30">
            <v>0.54990000000000006</v>
          </cell>
        </row>
        <row r="58">
          <cell r="B58">
            <v>2</v>
          </cell>
        </row>
        <row r="59">
          <cell r="B59">
            <v>3</v>
          </cell>
        </row>
        <row r="60">
          <cell r="B60">
            <v>4</v>
          </cell>
        </row>
        <row r="61">
          <cell r="B61">
            <v>5</v>
          </cell>
        </row>
        <row r="62">
          <cell r="B62">
            <v>6</v>
          </cell>
        </row>
        <row r="63">
          <cell r="B63">
            <v>7</v>
          </cell>
        </row>
        <row r="64">
          <cell r="B64">
            <v>8</v>
          </cell>
        </row>
        <row r="65">
          <cell r="B65">
            <v>9</v>
          </cell>
        </row>
        <row r="66">
          <cell r="B66">
            <v>10</v>
          </cell>
        </row>
        <row r="67">
          <cell r="B67">
            <v>11</v>
          </cell>
        </row>
        <row r="68">
          <cell r="B68">
            <v>12</v>
          </cell>
        </row>
        <row r="69">
          <cell r="B69">
            <v>13</v>
          </cell>
        </row>
        <row r="70">
          <cell r="B70">
            <v>14</v>
          </cell>
        </row>
        <row r="71">
          <cell r="B71">
            <v>15</v>
          </cell>
        </row>
        <row r="72">
          <cell r="B72">
            <v>16</v>
          </cell>
        </row>
        <row r="73">
          <cell r="B73">
            <v>17</v>
          </cell>
        </row>
        <row r="74">
          <cell r="B74">
            <v>18</v>
          </cell>
        </row>
        <row r="75">
          <cell r="B75">
            <v>19</v>
          </cell>
        </row>
        <row r="76">
          <cell r="B76">
            <v>20</v>
          </cell>
        </row>
        <row r="77">
          <cell r="B77">
            <v>21</v>
          </cell>
        </row>
        <row r="78">
          <cell r="B78">
            <v>22</v>
          </cell>
        </row>
        <row r="79">
          <cell r="B79">
            <v>23</v>
          </cell>
        </row>
        <row r="80">
          <cell r="B80">
            <v>24</v>
          </cell>
        </row>
        <row r="81">
          <cell r="B81">
            <v>25</v>
          </cell>
        </row>
        <row r="82">
          <cell r="B82">
            <v>26</v>
          </cell>
        </row>
        <row r="83">
          <cell r="B83">
            <v>27</v>
          </cell>
        </row>
        <row r="84">
          <cell r="B84">
            <v>28</v>
          </cell>
        </row>
        <row r="85">
          <cell r="B85">
            <v>29</v>
          </cell>
        </row>
        <row r="86">
          <cell r="B86">
            <v>30</v>
          </cell>
        </row>
        <row r="87">
          <cell r="B87">
            <v>31</v>
          </cell>
        </row>
        <row r="88">
          <cell r="B88">
            <v>32</v>
          </cell>
        </row>
        <row r="89">
          <cell r="B89">
            <v>33</v>
          </cell>
        </row>
        <row r="90">
          <cell r="B90">
            <v>34</v>
          </cell>
        </row>
        <row r="91">
          <cell r="B91">
            <v>35</v>
          </cell>
        </row>
        <row r="92">
          <cell r="B92">
            <v>36</v>
          </cell>
        </row>
        <row r="93">
          <cell r="B93">
            <v>37</v>
          </cell>
        </row>
        <row r="94">
          <cell r="B94">
            <v>38</v>
          </cell>
        </row>
        <row r="95">
          <cell r="B95">
            <v>39</v>
          </cell>
        </row>
        <row r="96">
          <cell r="B96">
            <v>40</v>
          </cell>
        </row>
        <row r="97">
          <cell r="B97">
            <v>41</v>
          </cell>
        </row>
        <row r="98">
          <cell r="B98">
            <v>42</v>
          </cell>
        </row>
        <row r="99">
          <cell r="B99">
            <v>43</v>
          </cell>
        </row>
        <row r="100">
          <cell r="B100">
            <v>44</v>
          </cell>
        </row>
        <row r="101">
          <cell r="B101">
            <v>45</v>
          </cell>
        </row>
        <row r="102">
          <cell r="B102">
            <v>46</v>
          </cell>
        </row>
        <row r="103">
          <cell r="B103">
            <v>47</v>
          </cell>
        </row>
        <row r="104">
          <cell r="B104">
            <v>48</v>
          </cell>
        </row>
        <row r="105">
          <cell r="B105">
            <v>49</v>
          </cell>
        </row>
        <row r="106">
          <cell r="B106">
            <v>50</v>
          </cell>
        </row>
        <row r="107">
          <cell r="B107">
            <v>51</v>
          </cell>
        </row>
        <row r="108">
          <cell r="B108">
            <v>52</v>
          </cell>
        </row>
        <row r="109">
          <cell r="B109">
            <v>53</v>
          </cell>
        </row>
        <row r="110">
          <cell r="B110">
            <v>54</v>
          </cell>
        </row>
        <row r="111">
          <cell r="B111">
            <v>55</v>
          </cell>
        </row>
        <row r="112">
          <cell r="B112">
            <v>56</v>
          </cell>
        </row>
        <row r="113">
          <cell r="B113">
            <v>57</v>
          </cell>
        </row>
        <row r="114">
          <cell r="B114">
            <v>58</v>
          </cell>
        </row>
        <row r="115">
          <cell r="B115">
            <v>59</v>
          </cell>
        </row>
        <row r="116">
          <cell r="B116">
            <v>60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Z10:AB21" totalsRowShown="0" headerRowDxfId="7" headerRowBorderDxfId="6" tableBorderDxfId="5" totalsRowBorderDxfId="4">
  <autoFilter ref="Z10:AB21" xr:uid="{00000000-0009-0000-0100-000001000000}"/>
  <tableColumns count="3">
    <tableColumn id="1" xr3:uid="{00000000-0010-0000-0000-000001000000}" name="Fecha de Facturación" dataDxfId="3"/>
    <tableColumn id="2" xr3:uid="{00000000-0010-0000-0000-000002000000}" name="Días de Pago" dataDxfId="2"/>
    <tableColumn id="3" xr3:uid="{00000000-0010-0000-0000-000003000000}" name="Ciclo" dataDxfId="1">
      <calculatedColumnFormula>+Z11</calculatedColumnFormula>
    </tableColumn>
  </tableColumns>
  <tableStyleInfo name="TableStyleMedium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T45"/>
  <sheetViews>
    <sheetView showGridLines="0" tabSelected="1" zoomScale="115" zoomScaleNormal="115" workbookViewId="0">
      <selection activeCell="G7" sqref="G7"/>
    </sheetView>
  </sheetViews>
  <sheetFormatPr baseColWidth="10" defaultColWidth="0" defaultRowHeight="0" customHeight="1" zeroHeight="1"/>
  <cols>
    <col min="1" max="1" width="2.28515625" style="122" customWidth="1"/>
    <col min="2" max="2" width="4.7109375" style="124" customWidth="1"/>
    <col min="3" max="3" width="11.5703125" style="138" customWidth="1"/>
    <col min="4" max="4" width="23.140625" style="138" customWidth="1"/>
    <col min="5" max="5" width="2.5703125" style="138" customWidth="1"/>
    <col min="6" max="6" width="3.7109375" style="138" customWidth="1"/>
    <col min="7" max="7" width="14.140625" style="138" bestFit="1" customWidth="1"/>
    <col min="8" max="8" width="3.7109375" style="158" customWidth="1"/>
    <col min="9" max="9" width="17.7109375" style="138" customWidth="1"/>
    <col min="10" max="10" width="4.7109375" style="124" customWidth="1"/>
    <col min="11" max="11" width="5.42578125" style="122" customWidth="1"/>
    <col min="12" max="12" width="4.140625" style="122" bestFit="1" customWidth="1"/>
    <col min="13" max="18" width="11.7109375" style="122" customWidth="1"/>
    <col min="19" max="19" width="13.7109375" style="122" customWidth="1"/>
    <col min="20" max="20" width="4.7109375" style="122" customWidth="1"/>
    <col min="21" max="16384" width="11.5703125" style="122" hidden="1"/>
  </cols>
  <sheetData>
    <row r="1" spans="2:19" ht="34.9" customHeight="1">
      <c r="B1" s="122"/>
      <c r="C1" s="122"/>
      <c r="D1" s="123"/>
      <c r="E1" s="123"/>
      <c r="F1" s="122"/>
      <c r="G1" s="122"/>
      <c r="H1" s="122"/>
      <c r="I1" s="122"/>
      <c r="J1" s="122"/>
      <c r="P1" s="159"/>
      <c r="Q1" s="159"/>
      <c r="R1" s="160"/>
    </row>
    <row r="2" spans="2:19" ht="15" customHeight="1">
      <c r="B2" s="122"/>
      <c r="C2" s="122"/>
      <c r="D2" s="123"/>
      <c r="E2" s="123"/>
      <c r="F2" s="122"/>
      <c r="G2" s="122"/>
      <c r="H2" s="122"/>
      <c r="I2" s="122"/>
      <c r="J2" s="122"/>
    </row>
    <row r="3" spans="2:19" ht="15" customHeight="1">
      <c r="B3" s="173" t="s">
        <v>43</v>
      </c>
      <c r="C3" s="173"/>
      <c r="D3" s="173"/>
      <c r="E3" s="173"/>
      <c r="F3" s="173"/>
      <c r="G3" s="173"/>
      <c r="H3" s="173"/>
      <c r="I3" s="173"/>
      <c r="J3" s="173"/>
      <c r="L3" s="173" t="s">
        <v>7</v>
      </c>
      <c r="M3" s="173"/>
      <c r="N3" s="173"/>
      <c r="O3" s="173"/>
      <c r="P3" s="173"/>
      <c r="Q3" s="173"/>
      <c r="R3" s="173"/>
      <c r="S3" s="173"/>
    </row>
    <row r="4" spans="2:19" ht="15" customHeight="1">
      <c r="B4" s="173"/>
      <c r="C4" s="173"/>
      <c r="D4" s="173"/>
      <c r="E4" s="173"/>
      <c r="F4" s="173"/>
      <c r="G4" s="173"/>
      <c r="H4" s="173"/>
      <c r="I4" s="173"/>
      <c r="J4" s="173"/>
      <c r="L4" s="173"/>
      <c r="M4" s="173"/>
      <c r="N4" s="173"/>
      <c r="O4" s="173"/>
      <c r="P4" s="173"/>
      <c r="Q4" s="173"/>
      <c r="R4" s="173"/>
      <c r="S4" s="173"/>
    </row>
    <row r="5" spans="2:19" ht="15" customHeight="1" thickBot="1">
      <c r="B5" s="122"/>
      <c r="C5" s="122"/>
      <c r="D5" s="123"/>
      <c r="E5" s="123"/>
      <c r="F5" s="122"/>
      <c r="G5" s="122"/>
      <c r="H5" s="122"/>
      <c r="I5" s="122"/>
      <c r="J5" s="122"/>
    </row>
    <row r="6" spans="2:19" ht="15" customHeight="1">
      <c r="C6" s="124"/>
      <c r="D6" s="125"/>
      <c r="E6" s="125"/>
      <c r="F6" s="124"/>
      <c r="G6" s="124"/>
      <c r="H6" s="124"/>
      <c r="I6" s="124"/>
      <c r="L6" s="174" t="s">
        <v>8</v>
      </c>
      <c r="M6" s="176" t="s">
        <v>9</v>
      </c>
      <c r="N6" s="176" t="s">
        <v>35</v>
      </c>
      <c r="O6" s="176" t="s">
        <v>27</v>
      </c>
      <c r="P6" s="176" t="s">
        <v>14</v>
      </c>
      <c r="Q6" s="176" t="s">
        <v>36</v>
      </c>
      <c r="R6" s="176" t="s">
        <v>48</v>
      </c>
      <c r="S6" s="179" t="s">
        <v>52</v>
      </c>
    </row>
    <row r="7" spans="2:19" ht="15" customHeight="1" thickBot="1">
      <c r="C7" s="124"/>
      <c r="D7" s="126" t="s">
        <v>44</v>
      </c>
      <c r="E7" s="127" t="s">
        <v>45</v>
      </c>
      <c r="F7" s="124"/>
      <c r="G7" s="162">
        <v>5000</v>
      </c>
      <c r="H7" s="124"/>
      <c r="I7" s="165" t="s">
        <v>58</v>
      </c>
      <c r="K7" s="128"/>
      <c r="L7" s="175"/>
      <c r="M7" s="177"/>
      <c r="N7" s="177"/>
      <c r="O7" s="177"/>
      <c r="P7" s="177"/>
      <c r="Q7" s="177"/>
      <c r="R7" s="177"/>
      <c r="S7" s="180"/>
    </row>
    <row r="8" spans="2:19" ht="15" customHeight="1">
      <c r="C8" s="124"/>
      <c r="D8" s="129"/>
      <c r="E8" s="129"/>
      <c r="F8" s="124"/>
      <c r="G8" s="124"/>
      <c r="H8" s="124"/>
      <c r="I8" s="164" t="s">
        <v>56</v>
      </c>
      <c r="L8" s="142">
        <v>1</v>
      </c>
      <c r="M8" s="143">
        <f ca="1">+'Simulador Efectivo LP'!C11</f>
        <v>45966</v>
      </c>
      <c r="N8" s="144">
        <f>+'Simulador Efectivo LP'!G11</f>
        <v>5000</v>
      </c>
      <c r="O8" s="144">
        <f ca="1">+'Simulador Efectivo LP'!P11</f>
        <v>362.36</v>
      </c>
      <c r="P8" s="144">
        <f ca="1">+'Simulador Efectivo LP'!Q11</f>
        <v>212.08000000000004</v>
      </c>
      <c r="Q8" s="145">
        <f ca="1">+'Simulador Efectivo LP'!R11</f>
        <v>574.44000000000005</v>
      </c>
      <c r="R8" s="145">
        <f>+'Simulador Efectivo LP'!S11</f>
        <v>0</v>
      </c>
      <c r="S8" s="146">
        <f ca="1">+'Simulador Efectivo LP'!T11</f>
        <v>574.44000000000005</v>
      </c>
    </row>
    <row r="9" spans="2:19" ht="15" customHeight="1">
      <c r="C9" s="124"/>
      <c r="D9" s="126" t="s">
        <v>2</v>
      </c>
      <c r="E9" s="127" t="s">
        <v>45</v>
      </c>
      <c r="F9" s="124"/>
      <c r="G9" s="120">
        <v>10</v>
      </c>
      <c r="H9" s="124"/>
      <c r="I9" s="166"/>
      <c r="L9" s="147">
        <v>2</v>
      </c>
      <c r="M9" s="148">
        <f ca="1">+'Simulador Efectivo LP'!C12</f>
        <v>45996</v>
      </c>
      <c r="N9" s="149">
        <f ca="1">+'Simulador Efectivo LP'!G12</f>
        <v>4637.6400000000003</v>
      </c>
      <c r="O9" s="149">
        <f ca="1">+'Simulador Efectivo LP'!P12</f>
        <v>471.93000000000006</v>
      </c>
      <c r="P9" s="149">
        <f ca="1">+'Simulador Efectivo LP'!Q12</f>
        <v>102.50999999999999</v>
      </c>
      <c r="Q9" s="150">
        <f ca="1">+'Simulador Efectivo LP'!R12</f>
        <v>574.44000000000005</v>
      </c>
      <c r="R9" s="150">
        <f>+'Simulador Efectivo LP'!S12</f>
        <v>0</v>
      </c>
      <c r="S9" s="151">
        <f ca="1">+'Simulador Efectivo LP'!T12</f>
        <v>574.44000000000005</v>
      </c>
    </row>
    <row r="10" spans="2:19" ht="15" customHeight="1">
      <c r="C10" s="124"/>
      <c r="D10" s="129"/>
      <c r="E10" s="129"/>
      <c r="F10" s="124"/>
      <c r="G10" s="124"/>
      <c r="H10" s="124"/>
      <c r="I10" s="165" t="s">
        <v>41</v>
      </c>
      <c r="L10" s="147">
        <v>3</v>
      </c>
      <c r="M10" s="148">
        <f ca="1">+'Simulador Efectivo LP'!C13</f>
        <v>46027</v>
      </c>
      <c r="N10" s="149">
        <f ca="1">+'Simulador Efectivo LP'!G13</f>
        <v>4165.71</v>
      </c>
      <c r="O10" s="149">
        <f ca="1">+'Simulador Efectivo LP'!P13</f>
        <v>479.2600000000001</v>
      </c>
      <c r="P10" s="149">
        <f ca="1">+'Simulador Efectivo LP'!Q13</f>
        <v>95.17999999999995</v>
      </c>
      <c r="Q10" s="150">
        <f ca="1">+'Simulador Efectivo LP'!R13</f>
        <v>574.44000000000005</v>
      </c>
      <c r="R10" s="150">
        <f>+'Simulador Efectivo LP'!S13</f>
        <v>0</v>
      </c>
      <c r="S10" s="151">
        <f ca="1">+'Simulador Efectivo LP'!T13</f>
        <v>574.44000000000005</v>
      </c>
    </row>
    <row r="11" spans="2:19" ht="15" customHeight="1">
      <c r="C11" s="124"/>
      <c r="D11" s="126" t="s">
        <v>31</v>
      </c>
      <c r="E11" s="127" t="s">
        <v>45</v>
      </c>
      <c r="F11" s="124"/>
      <c r="G11" s="121">
        <v>5</v>
      </c>
      <c r="H11" s="124"/>
      <c r="I11" s="164" t="s">
        <v>60</v>
      </c>
      <c r="L11" s="147">
        <v>4</v>
      </c>
      <c r="M11" s="148">
        <f ca="1">+'Simulador Efectivo LP'!C14</f>
        <v>46058</v>
      </c>
      <c r="N11" s="149">
        <f ca="1">+'Simulador Efectivo LP'!G14</f>
        <v>3686.45</v>
      </c>
      <c r="O11" s="149">
        <f ca="1">+'Simulador Efectivo LP'!P14</f>
        <v>490.21000000000004</v>
      </c>
      <c r="P11" s="149">
        <f ca="1">+'Simulador Efectivo LP'!Q14</f>
        <v>84.230000000000018</v>
      </c>
      <c r="Q11" s="150">
        <f ca="1">+'Simulador Efectivo LP'!R14</f>
        <v>574.44000000000005</v>
      </c>
      <c r="R11" s="150">
        <f>+'Simulador Efectivo LP'!S14</f>
        <v>0</v>
      </c>
      <c r="S11" s="151">
        <f ca="1">+'Simulador Efectivo LP'!T14</f>
        <v>574.44000000000005</v>
      </c>
    </row>
    <row r="12" spans="2:19" ht="15" customHeight="1">
      <c r="C12" s="124"/>
      <c r="D12" s="129"/>
      <c r="E12" s="129"/>
      <c r="F12" s="124"/>
      <c r="G12" s="124"/>
      <c r="H12" s="124"/>
      <c r="I12" s="124"/>
      <c r="L12" s="147">
        <v>5</v>
      </c>
      <c r="M12" s="148">
        <f ca="1">+'Simulador Efectivo LP'!C15</f>
        <v>46086</v>
      </c>
      <c r="N12" s="149">
        <f ca="1">+'Simulador Efectivo LP'!G15</f>
        <v>3196.24</v>
      </c>
      <c r="O12" s="149">
        <f ca="1">+'Simulador Efectivo LP'!P15</f>
        <v>508.55000000000018</v>
      </c>
      <c r="P12" s="149">
        <f ca="1">+'Simulador Efectivo LP'!Q15</f>
        <v>65.889999999999873</v>
      </c>
      <c r="Q12" s="150">
        <f ca="1">+'Simulador Efectivo LP'!R15</f>
        <v>574.44000000000005</v>
      </c>
      <c r="R12" s="150">
        <f>+'Simulador Efectivo LP'!S15</f>
        <v>0</v>
      </c>
      <c r="S12" s="151">
        <f ca="1">+'Simulador Efectivo LP'!T15</f>
        <v>574.44000000000005</v>
      </c>
    </row>
    <row r="13" spans="2:19" ht="15" customHeight="1">
      <c r="C13" s="124"/>
      <c r="D13" s="126" t="s">
        <v>50</v>
      </c>
      <c r="E13" s="127" t="s">
        <v>45</v>
      </c>
      <c r="F13" s="124"/>
      <c r="G13" s="139">
        <v>0.3</v>
      </c>
      <c r="H13" s="124"/>
      <c r="I13" s="167">
        <f>+VLOOKUP(I8,Tipo,2,0)</f>
        <v>0.21</v>
      </c>
      <c r="L13" s="147">
        <v>6</v>
      </c>
      <c r="M13" s="148">
        <f ca="1">+'Simulador Efectivo LP'!C16</f>
        <v>46117</v>
      </c>
      <c r="N13" s="149">
        <f ca="1">+'Simulador Efectivo LP'!G16</f>
        <v>2687.6899999999996</v>
      </c>
      <c r="O13" s="149">
        <f ca="1">+'Simulador Efectivo LP'!P16</f>
        <v>513.0300000000002</v>
      </c>
      <c r="P13" s="149">
        <f ca="1">+'Simulador Efectivo LP'!Q16</f>
        <v>61.409999999999854</v>
      </c>
      <c r="Q13" s="150">
        <f ca="1">+'Simulador Efectivo LP'!R16</f>
        <v>574.44000000000005</v>
      </c>
      <c r="R13" s="150">
        <f>+'Simulador Efectivo LP'!S16</f>
        <v>0</v>
      </c>
      <c r="S13" s="151">
        <f ca="1">+'Simulador Efectivo LP'!T16</f>
        <v>574.44000000000005</v>
      </c>
    </row>
    <row r="14" spans="2:19" ht="15" customHeight="1">
      <c r="C14" s="124"/>
      <c r="D14" s="125"/>
      <c r="E14" s="125"/>
      <c r="F14" s="124"/>
      <c r="G14" s="124"/>
      <c r="H14" s="124"/>
      <c r="I14" s="167">
        <f>+VLOOKUP(I8,Tipo,3,0)</f>
        <v>0.8</v>
      </c>
      <c r="L14" s="147">
        <v>7</v>
      </c>
      <c r="M14" s="148">
        <f ca="1">+'Simulador Efectivo LP'!C17</f>
        <v>46147</v>
      </c>
      <c r="N14" s="149">
        <f ca="1">+'Simulador Efectivo LP'!G17</f>
        <v>2174.6599999999994</v>
      </c>
      <c r="O14" s="149">
        <f ca="1">+'Simulador Efectivo LP'!P17</f>
        <v>526.36999999999989</v>
      </c>
      <c r="P14" s="149">
        <f ca="1">+'Simulador Efectivo LP'!Q17</f>
        <v>48.070000000000164</v>
      </c>
      <c r="Q14" s="150">
        <f ca="1">+'Simulador Efectivo LP'!R17</f>
        <v>574.44000000000005</v>
      </c>
      <c r="R14" s="150">
        <f>+'Simulador Efectivo LP'!S17</f>
        <v>0</v>
      </c>
      <c r="S14" s="151">
        <f ca="1">+'Simulador Efectivo LP'!T17</f>
        <v>574.44000000000005</v>
      </c>
    </row>
    <row r="15" spans="2:19" ht="15" customHeight="1">
      <c r="C15" s="124"/>
      <c r="D15" s="126" t="s">
        <v>39</v>
      </c>
      <c r="E15" s="127" t="s">
        <v>45</v>
      </c>
      <c r="F15" s="124"/>
      <c r="G15" s="130">
        <f ca="1">TODAY()</f>
        <v>45910</v>
      </c>
      <c r="H15" s="124"/>
      <c r="I15" s="124"/>
      <c r="L15" s="147">
        <v>8</v>
      </c>
      <c r="M15" s="148">
        <f ca="1">+'Simulador Efectivo LP'!C18</f>
        <v>46178</v>
      </c>
      <c r="N15" s="149">
        <f ca="1">+'Simulador Efectivo LP'!G18</f>
        <v>1648.2899999999995</v>
      </c>
      <c r="O15" s="149">
        <f ca="1">+'Simulador Efectivo LP'!P18</f>
        <v>536.7800000000002</v>
      </c>
      <c r="P15" s="149">
        <f ca="1">+'Simulador Efectivo LP'!Q18</f>
        <v>37.659999999999854</v>
      </c>
      <c r="Q15" s="150">
        <f ca="1">+'Simulador Efectivo LP'!R18</f>
        <v>574.44000000000005</v>
      </c>
      <c r="R15" s="150">
        <f>+'Simulador Efectivo LP'!S18</f>
        <v>0</v>
      </c>
      <c r="S15" s="151">
        <f ca="1">+'Simulador Efectivo LP'!T18</f>
        <v>574.44000000000005</v>
      </c>
    </row>
    <row r="16" spans="2:19" ht="15" customHeight="1">
      <c r="C16" s="124"/>
      <c r="H16" s="124"/>
      <c r="I16" s="124"/>
      <c r="L16" s="147">
        <v>9</v>
      </c>
      <c r="M16" s="148">
        <f ca="1">+'Simulador Efectivo LP'!C19</f>
        <v>46208</v>
      </c>
      <c r="N16" s="149">
        <f ca="1">+'Simulador Efectivo LP'!G19</f>
        <v>1111.5099999999993</v>
      </c>
      <c r="O16" s="149">
        <f ca="1">+'Simulador Efectivo LP'!P19</f>
        <v>549.86999999999989</v>
      </c>
      <c r="P16" s="149">
        <f ca="1">+'Simulador Efectivo LP'!Q19</f>
        <v>24.570000000000164</v>
      </c>
      <c r="Q16" s="150">
        <f ca="1">+'Simulador Efectivo LP'!R19</f>
        <v>574.44000000000005</v>
      </c>
      <c r="R16" s="150">
        <f>+'Simulador Efectivo LP'!S19</f>
        <v>0</v>
      </c>
      <c r="S16" s="151">
        <f ca="1">+'Simulador Efectivo LP'!T19</f>
        <v>574.44000000000005</v>
      </c>
    </row>
    <row r="17" spans="2:19" ht="15" customHeight="1">
      <c r="B17" s="122"/>
      <c r="C17" s="122"/>
      <c r="D17" s="123"/>
      <c r="E17" s="123"/>
      <c r="F17" s="122"/>
      <c r="G17" s="161"/>
      <c r="H17" s="122"/>
      <c r="I17" s="122"/>
      <c r="J17" s="122"/>
      <c r="L17" s="147">
        <v>10</v>
      </c>
      <c r="M17" s="148">
        <f ca="1">+'Simulador Efectivo LP'!C20</f>
        <v>46239</v>
      </c>
      <c r="N17" s="149">
        <f ca="1">+'Simulador Efectivo LP'!G20</f>
        <v>561.6399999999993</v>
      </c>
      <c r="O17" s="149">
        <f ca="1">+'Simulador Efectivo LP'!P20</f>
        <v>561.63999999999942</v>
      </c>
      <c r="P17" s="149">
        <f ca="1">+'Simulador Efectivo LP'!Q20</f>
        <v>12.800000000000637</v>
      </c>
      <c r="Q17" s="150">
        <f ca="1">+'Simulador Efectivo LP'!R20</f>
        <v>574.44000000000005</v>
      </c>
      <c r="R17" s="150">
        <f>+'Simulador Efectivo LP'!S20</f>
        <v>0</v>
      </c>
      <c r="S17" s="151">
        <f ca="1">+'Simulador Efectivo LP'!T20</f>
        <v>574.44000000000005</v>
      </c>
    </row>
    <row r="18" spans="2:19" ht="15" customHeight="1">
      <c r="C18" s="124"/>
      <c r="D18" s="125"/>
      <c r="E18" s="125"/>
      <c r="F18" s="124"/>
      <c r="G18" s="124"/>
      <c r="H18" s="124"/>
      <c r="I18" s="124"/>
      <c r="L18" s="147">
        <v>11</v>
      </c>
      <c r="M18" s="148" t="str">
        <f>+'Simulador Efectivo LP'!C21</f>
        <v/>
      </c>
      <c r="N18" s="149" t="str">
        <f>+'Simulador Efectivo LP'!G21</f>
        <v/>
      </c>
      <c r="O18" s="149" t="str">
        <f>+'Simulador Efectivo LP'!P21</f>
        <v/>
      </c>
      <c r="P18" s="149" t="str">
        <f>+'Simulador Efectivo LP'!Q21</f>
        <v/>
      </c>
      <c r="Q18" s="150" t="str">
        <f>+'Simulador Efectivo LP'!R21</f>
        <v/>
      </c>
      <c r="R18" s="150" t="str">
        <f>+'Simulador Efectivo LP'!S21</f>
        <v/>
      </c>
      <c r="S18" s="151" t="str">
        <f>+'Simulador Efectivo LP'!T21</f>
        <v/>
      </c>
    </row>
    <row r="19" spans="2:19" ht="15" customHeight="1">
      <c r="C19" s="178" t="s">
        <v>62</v>
      </c>
      <c r="D19" s="178"/>
      <c r="E19" s="178"/>
      <c r="F19" s="178"/>
      <c r="G19" s="178"/>
      <c r="H19" s="178"/>
      <c r="I19" s="178"/>
      <c r="J19" s="131"/>
      <c r="L19" s="147">
        <v>12</v>
      </c>
      <c r="M19" s="148" t="str">
        <f>+'Simulador Efectivo LP'!C22</f>
        <v/>
      </c>
      <c r="N19" s="149" t="str">
        <f>+'Simulador Efectivo LP'!G22</f>
        <v/>
      </c>
      <c r="O19" s="149" t="str">
        <f>+'Simulador Efectivo LP'!P22</f>
        <v/>
      </c>
      <c r="P19" s="149" t="str">
        <f>+'Simulador Efectivo LP'!Q22</f>
        <v/>
      </c>
      <c r="Q19" s="150" t="str">
        <f>+'Simulador Efectivo LP'!R22</f>
        <v/>
      </c>
      <c r="R19" s="150" t="str">
        <f>+'Simulador Efectivo LP'!S22</f>
        <v/>
      </c>
      <c r="S19" s="151" t="str">
        <f>+'Simulador Efectivo LP'!T22</f>
        <v/>
      </c>
    </row>
    <row r="20" spans="2:19" ht="15" customHeight="1">
      <c r="C20" s="178"/>
      <c r="D20" s="178"/>
      <c r="E20" s="178"/>
      <c r="F20" s="178"/>
      <c r="G20" s="178"/>
      <c r="H20" s="178"/>
      <c r="I20" s="178"/>
      <c r="J20" s="131"/>
      <c r="L20" s="147">
        <v>13</v>
      </c>
      <c r="M20" s="148" t="str">
        <f>+'Simulador Efectivo LP'!C23</f>
        <v/>
      </c>
      <c r="N20" s="149" t="str">
        <f>+'Simulador Efectivo LP'!G23</f>
        <v/>
      </c>
      <c r="O20" s="149" t="str">
        <f>+'Simulador Efectivo LP'!P23</f>
        <v/>
      </c>
      <c r="P20" s="149" t="str">
        <f>+'Simulador Efectivo LP'!Q23</f>
        <v/>
      </c>
      <c r="Q20" s="150" t="str">
        <f>+'Simulador Efectivo LP'!R23</f>
        <v/>
      </c>
      <c r="R20" s="150" t="str">
        <f>+'Simulador Efectivo LP'!S23</f>
        <v/>
      </c>
      <c r="S20" s="151" t="str">
        <f>+'Simulador Efectivo LP'!T23</f>
        <v/>
      </c>
    </row>
    <row r="21" spans="2:19" ht="15" customHeight="1">
      <c r="C21" s="178"/>
      <c r="D21" s="178"/>
      <c r="E21" s="178"/>
      <c r="F21" s="178"/>
      <c r="G21" s="178"/>
      <c r="H21" s="178"/>
      <c r="I21" s="178"/>
      <c r="J21" s="131"/>
      <c r="L21" s="147">
        <v>14</v>
      </c>
      <c r="M21" s="148" t="str">
        <f>+'Simulador Efectivo LP'!C24</f>
        <v/>
      </c>
      <c r="N21" s="149" t="str">
        <f>+'Simulador Efectivo LP'!G24</f>
        <v/>
      </c>
      <c r="O21" s="149" t="str">
        <f>+'Simulador Efectivo LP'!P24</f>
        <v/>
      </c>
      <c r="P21" s="149" t="str">
        <f>+'Simulador Efectivo LP'!Q24</f>
        <v/>
      </c>
      <c r="Q21" s="150" t="str">
        <f>+'Simulador Efectivo LP'!R24</f>
        <v/>
      </c>
      <c r="R21" s="150" t="str">
        <f>+'Simulador Efectivo LP'!S24</f>
        <v/>
      </c>
      <c r="S21" s="151" t="str">
        <f>+'Simulador Efectivo LP'!T24</f>
        <v/>
      </c>
    </row>
    <row r="22" spans="2:19" ht="15" customHeight="1">
      <c r="C22" s="134"/>
      <c r="D22" s="133"/>
      <c r="E22" s="133"/>
      <c r="F22" s="134"/>
      <c r="G22" s="134"/>
      <c r="H22" s="134"/>
      <c r="I22" s="134"/>
      <c r="L22" s="147">
        <v>15</v>
      </c>
      <c r="M22" s="148" t="str">
        <f>+'Simulador Efectivo LP'!C25</f>
        <v/>
      </c>
      <c r="N22" s="149" t="str">
        <f>+'Simulador Efectivo LP'!G25</f>
        <v/>
      </c>
      <c r="O22" s="149" t="str">
        <f>+'Simulador Efectivo LP'!P25</f>
        <v/>
      </c>
      <c r="P22" s="149" t="str">
        <f>+'Simulador Efectivo LP'!Q25</f>
        <v/>
      </c>
      <c r="Q22" s="150" t="str">
        <f>+'Simulador Efectivo LP'!R25</f>
        <v/>
      </c>
      <c r="R22" s="150" t="str">
        <f>+'Simulador Efectivo LP'!S25</f>
        <v/>
      </c>
      <c r="S22" s="151" t="str">
        <f>+'Simulador Efectivo LP'!T25</f>
        <v/>
      </c>
    </row>
    <row r="23" spans="2:19" ht="15" customHeight="1">
      <c r="C23" s="132">
        <f ca="1">+'Simulador Efectivo LP'!R11</f>
        <v>574.44000000000005</v>
      </c>
      <c r="D23" s="133"/>
      <c r="E23" s="133"/>
      <c r="F23" s="134"/>
      <c r="G23" s="132">
        <f ca="1">+S8</f>
        <v>574.44000000000005</v>
      </c>
      <c r="H23" s="168"/>
      <c r="I23" s="168"/>
      <c r="L23" s="147">
        <v>16</v>
      </c>
      <c r="M23" s="148" t="str">
        <f>+'Simulador Efectivo LP'!C26</f>
        <v/>
      </c>
      <c r="N23" s="149" t="str">
        <f>+'Simulador Efectivo LP'!G26</f>
        <v/>
      </c>
      <c r="O23" s="149" t="str">
        <f>+'Simulador Efectivo LP'!P26</f>
        <v/>
      </c>
      <c r="P23" s="149" t="str">
        <f>+'Simulador Efectivo LP'!Q26</f>
        <v/>
      </c>
      <c r="Q23" s="150" t="str">
        <f>+'Simulador Efectivo LP'!R26</f>
        <v/>
      </c>
      <c r="R23" s="150" t="str">
        <f>+'Simulador Efectivo LP'!S26</f>
        <v/>
      </c>
      <c r="S23" s="151" t="str">
        <f>+'Simulador Efectivo LP'!T26</f>
        <v/>
      </c>
    </row>
    <row r="24" spans="2:19" ht="15" customHeight="1">
      <c r="C24" s="136" t="s">
        <v>51</v>
      </c>
      <c r="D24" s="133"/>
      <c r="E24" s="133"/>
      <c r="F24" s="134"/>
      <c r="G24" s="136" t="s">
        <v>53</v>
      </c>
      <c r="H24" s="133"/>
      <c r="I24" s="133"/>
      <c r="L24" s="147">
        <v>17</v>
      </c>
      <c r="M24" s="148" t="str">
        <f>+'Simulador Efectivo LP'!C27</f>
        <v/>
      </c>
      <c r="N24" s="149" t="str">
        <f>+'Simulador Efectivo LP'!G27</f>
        <v/>
      </c>
      <c r="O24" s="149" t="str">
        <f>+'Simulador Efectivo LP'!P27</f>
        <v/>
      </c>
      <c r="P24" s="149" t="str">
        <f>+'Simulador Efectivo LP'!Q27</f>
        <v/>
      </c>
      <c r="Q24" s="150" t="str">
        <f>+'Simulador Efectivo LP'!R27</f>
        <v/>
      </c>
      <c r="R24" s="150" t="str">
        <f>+'Simulador Efectivo LP'!S27</f>
        <v/>
      </c>
      <c r="S24" s="151" t="str">
        <f>+'Simulador Efectivo LP'!T27</f>
        <v/>
      </c>
    </row>
    <row r="25" spans="2:19" ht="15" customHeight="1">
      <c r="C25" s="136"/>
      <c r="D25" s="133"/>
      <c r="E25" s="133"/>
      <c r="F25" s="134"/>
      <c r="G25" s="136"/>
      <c r="H25" s="134"/>
      <c r="I25" s="134"/>
      <c r="L25" s="147">
        <v>18</v>
      </c>
      <c r="M25" s="148" t="str">
        <f>+'Simulador Efectivo LP'!C28</f>
        <v/>
      </c>
      <c r="N25" s="149" t="str">
        <f>+'Simulador Efectivo LP'!G28</f>
        <v/>
      </c>
      <c r="O25" s="149" t="str">
        <f>+'Simulador Efectivo LP'!P28</f>
        <v/>
      </c>
      <c r="P25" s="149" t="str">
        <f>+'Simulador Efectivo LP'!Q28</f>
        <v/>
      </c>
      <c r="Q25" s="150" t="str">
        <f>+'Simulador Efectivo LP'!R28</f>
        <v/>
      </c>
      <c r="R25" s="150" t="str">
        <f>+'Simulador Efectivo LP'!S28</f>
        <v/>
      </c>
      <c r="S25" s="151" t="str">
        <f>+'Simulador Efectivo LP'!T28</f>
        <v/>
      </c>
    </row>
    <row r="26" spans="2:19" ht="15" customHeight="1">
      <c r="C26" s="137">
        <f ca="1">+IFERROR('Simulador Efectivo LP'!G8,"")</f>
        <v>45940</v>
      </c>
      <c r="D26" s="133"/>
      <c r="E26" s="133"/>
      <c r="F26" s="134"/>
      <c r="G26" s="135">
        <f>IFERROR('Simulador Efectivo LP'!S7,"")</f>
        <v>0.3</v>
      </c>
      <c r="H26" s="168"/>
      <c r="I26" s="168"/>
      <c r="L26" s="147">
        <v>19</v>
      </c>
      <c r="M26" s="148" t="str">
        <f>+'Simulador Efectivo LP'!C29</f>
        <v/>
      </c>
      <c r="N26" s="149" t="str">
        <f>+'Simulador Efectivo LP'!G29</f>
        <v/>
      </c>
      <c r="O26" s="149" t="str">
        <f>+'Simulador Efectivo LP'!P29</f>
        <v/>
      </c>
      <c r="P26" s="149" t="str">
        <f>+'Simulador Efectivo LP'!Q29</f>
        <v/>
      </c>
      <c r="Q26" s="150" t="str">
        <f>+'Simulador Efectivo LP'!R29</f>
        <v/>
      </c>
      <c r="R26" s="150" t="str">
        <f>+'Simulador Efectivo LP'!S29</f>
        <v/>
      </c>
      <c r="S26" s="151" t="str">
        <f>+'Simulador Efectivo LP'!T29</f>
        <v/>
      </c>
    </row>
    <row r="27" spans="2:19" ht="15" customHeight="1">
      <c r="C27" s="136" t="s">
        <v>49</v>
      </c>
      <c r="D27" s="133"/>
      <c r="E27" s="133"/>
      <c r="F27" s="134"/>
      <c r="G27" s="136" t="s">
        <v>46</v>
      </c>
      <c r="H27" s="133"/>
      <c r="I27" s="133"/>
      <c r="L27" s="147">
        <v>20</v>
      </c>
      <c r="M27" s="148" t="str">
        <f>+'Simulador Efectivo LP'!C30</f>
        <v/>
      </c>
      <c r="N27" s="149" t="str">
        <f>+'Simulador Efectivo LP'!G30</f>
        <v/>
      </c>
      <c r="O27" s="149" t="str">
        <f>+'Simulador Efectivo LP'!P30</f>
        <v/>
      </c>
      <c r="P27" s="149" t="str">
        <f>+'Simulador Efectivo LP'!Q30</f>
        <v/>
      </c>
      <c r="Q27" s="150" t="str">
        <f>+'Simulador Efectivo LP'!R30</f>
        <v/>
      </c>
      <c r="R27" s="150" t="str">
        <f>+'Simulador Efectivo LP'!S30</f>
        <v/>
      </c>
      <c r="S27" s="151" t="str">
        <f>+'Simulador Efectivo LP'!T30</f>
        <v/>
      </c>
    </row>
    <row r="28" spans="2:19" ht="15" customHeight="1">
      <c r="C28" s="134"/>
      <c r="D28" s="133"/>
      <c r="E28" s="133"/>
      <c r="F28" s="134"/>
      <c r="G28" s="134"/>
      <c r="H28" s="134"/>
      <c r="I28" s="134"/>
      <c r="L28" s="147">
        <v>21</v>
      </c>
      <c r="M28" s="148" t="str">
        <f>+'Simulador Efectivo LP'!C31</f>
        <v/>
      </c>
      <c r="N28" s="149" t="str">
        <f>+'Simulador Efectivo LP'!G31</f>
        <v/>
      </c>
      <c r="O28" s="149" t="str">
        <f>+'Simulador Efectivo LP'!P31</f>
        <v/>
      </c>
      <c r="P28" s="149" t="str">
        <f>+'Simulador Efectivo LP'!Q31</f>
        <v/>
      </c>
      <c r="Q28" s="150" t="str">
        <f>+'Simulador Efectivo LP'!R31</f>
        <v/>
      </c>
      <c r="R28" s="150" t="str">
        <f>+'Simulador Efectivo LP'!S31</f>
        <v/>
      </c>
      <c r="S28" s="151" t="str">
        <f>+'Simulador Efectivo LP'!T31</f>
        <v/>
      </c>
    </row>
    <row r="29" spans="2:19" ht="15" customHeight="1">
      <c r="C29" s="137">
        <f ca="1">+'Simulador Efectivo LP'!C11</f>
        <v>45966</v>
      </c>
      <c r="D29" s="169"/>
      <c r="E29" s="169"/>
      <c r="F29" s="169"/>
      <c r="G29" s="132">
        <f>+'Simulador Efectivo LP'!S11</f>
        <v>0</v>
      </c>
      <c r="H29" s="169"/>
      <c r="I29" s="169"/>
      <c r="L29" s="147">
        <v>22</v>
      </c>
      <c r="M29" s="148" t="str">
        <f>+'Simulador Efectivo LP'!C32</f>
        <v/>
      </c>
      <c r="N29" s="149" t="str">
        <f>+'Simulador Efectivo LP'!G32</f>
        <v/>
      </c>
      <c r="O29" s="149" t="str">
        <f>+'Simulador Efectivo LP'!P32</f>
        <v/>
      </c>
      <c r="P29" s="149" t="str">
        <f>+'Simulador Efectivo LP'!Q32</f>
        <v/>
      </c>
      <c r="Q29" s="150" t="str">
        <f>+'Simulador Efectivo LP'!R32</f>
        <v/>
      </c>
      <c r="R29" s="150" t="str">
        <f>+'Simulador Efectivo LP'!S32</f>
        <v/>
      </c>
      <c r="S29" s="151" t="str">
        <f>+'Simulador Efectivo LP'!T32</f>
        <v/>
      </c>
    </row>
    <row r="30" spans="2:19" ht="15" customHeight="1">
      <c r="C30" s="136" t="s">
        <v>47</v>
      </c>
      <c r="D30" s="169"/>
      <c r="E30" s="169"/>
      <c r="F30" s="169"/>
      <c r="G30" s="136" t="s">
        <v>54</v>
      </c>
      <c r="H30" s="169"/>
      <c r="I30" s="169"/>
      <c r="L30" s="147">
        <v>23</v>
      </c>
      <c r="M30" s="148" t="str">
        <f>+'Simulador Efectivo LP'!C33</f>
        <v/>
      </c>
      <c r="N30" s="149" t="str">
        <f>+'Simulador Efectivo LP'!G33</f>
        <v/>
      </c>
      <c r="O30" s="149" t="str">
        <f>+'Simulador Efectivo LP'!P33</f>
        <v/>
      </c>
      <c r="P30" s="149" t="str">
        <f>+'Simulador Efectivo LP'!Q33</f>
        <v/>
      </c>
      <c r="Q30" s="150" t="str">
        <f>+'Simulador Efectivo LP'!R33</f>
        <v/>
      </c>
      <c r="R30" s="150" t="str">
        <f>+'Simulador Efectivo LP'!S33</f>
        <v/>
      </c>
      <c r="S30" s="151" t="str">
        <f>+'Simulador Efectivo LP'!T33</f>
        <v/>
      </c>
    </row>
    <row r="31" spans="2:19" ht="15" customHeight="1">
      <c r="C31" s="136"/>
      <c r="D31" s="169"/>
      <c r="E31" s="169"/>
      <c r="F31" s="169"/>
      <c r="G31" s="136"/>
      <c r="H31" s="169"/>
      <c r="I31" s="169"/>
      <c r="L31" s="147">
        <v>24</v>
      </c>
      <c r="M31" s="148" t="str">
        <f>+'Simulador Efectivo LP'!C34</f>
        <v/>
      </c>
      <c r="N31" s="149" t="str">
        <f>+'Simulador Efectivo LP'!G34</f>
        <v/>
      </c>
      <c r="O31" s="149" t="str">
        <f>+'Simulador Efectivo LP'!P34</f>
        <v/>
      </c>
      <c r="P31" s="149" t="str">
        <f>+'Simulador Efectivo LP'!Q34</f>
        <v/>
      </c>
      <c r="Q31" s="150" t="str">
        <f>+'Simulador Efectivo LP'!R34</f>
        <v/>
      </c>
      <c r="R31" s="150" t="str">
        <f>+'Simulador Efectivo LP'!S34</f>
        <v/>
      </c>
      <c r="S31" s="151" t="str">
        <f>+'Simulador Efectivo LP'!T34</f>
        <v/>
      </c>
    </row>
    <row r="32" spans="2:19" ht="15" customHeight="1">
      <c r="C32" s="169"/>
      <c r="D32" s="169"/>
      <c r="E32" s="169"/>
      <c r="F32" s="169"/>
      <c r="G32" s="169"/>
      <c r="H32" s="169"/>
      <c r="I32" s="169"/>
      <c r="L32" s="147">
        <v>25</v>
      </c>
      <c r="M32" s="148" t="str">
        <f>+'Simulador Efectivo LP'!C35</f>
        <v/>
      </c>
      <c r="N32" s="149" t="str">
        <f>+'Simulador Efectivo LP'!G35</f>
        <v/>
      </c>
      <c r="O32" s="149" t="str">
        <f>+'Simulador Efectivo LP'!P35</f>
        <v/>
      </c>
      <c r="P32" s="149" t="str">
        <f>+'Simulador Efectivo LP'!Q35</f>
        <v/>
      </c>
      <c r="Q32" s="150" t="str">
        <f>+'Simulador Efectivo LP'!R35</f>
        <v/>
      </c>
      <c r="R32" s="150" t="str">
        <f>+'Simulador Efectivo LP'!S35</f>
        <v/>
      </c>
      <c r="S32" s="151" t="str">
        <f>+'Simulador Efectivo LP'!T35</f>
        <v/>
      </c>
    </row>
    <row r="33" spans="3:19" ht="15" customHeight="1">
      <c r="C33" s="181" t="s">
        <v>63</v>
      </c>
      <c r="D33" s="181"/>
      <c r="E33" s="181"/>
      <c r="F33" s="181"/>
      <c r="G33" s="181"/>
      <c r="H33" s="181"/>
      <c r="I33" s="181"/>
      <c r="L33" s="147">
        <v>26</v>
      </c>
      <c r="M33" s="148" t="str">
        <f>+'Simulador Efectivo LP'!C36</f>
        <v/>
      </c>
      <c r="N33" s="149" t="str">
        <f>+'Simulador Efectivo LP'!G36</f>
        <v/>
      </c>
      <c r="O33" s="149" t="str">
        <f>+'Simulador Efectivo LP'!P36</f>
        <v/>
      </c>
      <c r="P33" s="149" t="str">
        <f>+'Simulador Efectivo LP'!Q36</f>
        <v/>
      </c>
      <c r="Q33" s="150" t="str">
        <f>+'Simulador Efectivo LP'!R36</f>
        <v/>
      </c>
      <c r="R33" s="150" t="str">
        <f>+'Simulador Efectivo LP'!S36</f>
        <v/>
      </c>
      <c r="S33" s="151" t="str">
        <f>+'Simulador Efectivo LP'!T36</f>
        <v/>
      </c>
    </row>
    <row r="34" spans="3:19" ht="15" customHeight="1">
      <c r="C34" s="181"/>
      <c r="D34" s="181"/>
      <c r="E34" s="181"/>
      <c r="F34" s="181"/>
      <c r="G34" s="181"/>
      <c r="H34" s="181"/>
      <c r="I34" s="181"/>
      <c r="L34" s="147">
        <v>27</v>
      </c>
      <c r="M34" s="148" t="str">
        <f>+'Simulador Efectivo LP'!C37</f>
        <v/>
      </c>
      <c r="N34" s="149" t="str">
        <f>+'Simulador Efectivo LP'!G37</f>
        <v/>
      </c>
      <c r="O34" s="149" t="str">
        <f>+'Simulador Efectivo LP'!P37</f>
        <v/>
      </c>
      <c r="P34" s="149" t="str">
        <f>+'Simulador Efectivo LP'!Q37</f>
        <v/>
      </c>
      <c r="Q34" s="150" t="str">
        <f>+'Simulador Efectivo LP'!R37</f>
        <v/>
      </c>
      <c r="R34" s="150" t="str">
        <f>+'Simulador Efectivo LP'!S37</f>
        <v/>
      </c>
      <c r="S34" s="151" t="str">
        <f>+'Simulador Efectivo LP'!T37</f>
        <v/>
      </c>
    </row>
    <row r="35" spans="3:19" ht="15" customHeight="1">
      <c r="C35" s="181"/>
      <c r="D35" s="181"/>
      <c r="E35" s="181"/>
      <c r="F35" s="181"/>
      <c r="G35" s="181"/>
      <c r="H35" s="181"/>
      <c r="I35" s="181"/>
      <c r="L35" s="147">
        <v>28</v>
      </c>
      <c r="M35" s="148" t="str">
        <f>+'Simulador Efectivo LP'!C38</f>
        <v/>
      </c>
      <c r="N35" s="149" t="str">
        <f>+'Simulador Efectivo LP'!G38</f>
        <v/>
      </c>
      <c r="O35" s="149" t="str">
        <f>+'Simulador Efectivo LP'!P38</f>
        <v/>
      </c>
      <c r="P35" s="149" t="str">
        <f>+'Simulador Efectivo LP'!Q38</f>
        <v/>
      </c>
      <c r="Q35" s="150" t="str">
        <f>+'Simulador Efectivo LP'!R38</f>
        <v/>
      </c>
      <c r="R35" s="150" t="str">
        <f>+'Simulador Efectivo LP'!S38</f>
        <v/>
      </c>
      <c r="S35" s="151" t="str">
        <f>+'Simulador Efectivo LP'!T38</f>
        <v/>
      </c>
    </row>
    <row r="36" spans="3:19" ht="15" customHeight="1">
      <c r="C36" s="181"/>
      <c r="D36" s="181"/>
      <c r="E36" s="181"/>
      <c r="F36" s="181"/>
      <c r="G36" s="181"/>
      <c r="H36" s="181"/>
      <c r="I36" s="181"/>
      <c r="L36" s="147">
        <v>29</v>
      </c>
      <c r="M36" s="148" t="str">
        <f>+'Simulador Efectivo LP'!C39</f>
        <v/>
      </c>
      <c r="N36" s="149" t="str">
        <f>+'Simulador Efectivo LP'!G39</f>
        <v/>
      </c>
      <c r="O36" s="149" t="str">
        <f>+'Simulador Efectivo LP'!P39</f>
        <v/>
      </c>
      <c r="P36" s="149" t="str">
        <f>+'Simulador Efectivo LP'!Q39</f>
        <v/>
      </c>
      <c r="Q36" s="150" t="str">
        <f>+'Simulador Efectivo LP'!R39</f>
        <v/>
      </c>
      <c r="R36" s="150" t="str">
        <f>+'Simulador Efectivo LP'!S39</f>
        <v/>
      </c>
      <c r="S36" s="151" t="str">
        <f>+'Simulador Efectivo LP'!T39</f>
        <v/>
      </c>
    </row>
    <row r="37" spans="3:19" ht="15" customHeight="1">
      <c r="C37" s="181"/>
      <c r="D37" s="181"/>
      <c r="E37" s="181"/>
      <c r="F37" s="181"/>
      <c r="G37" s="181"/>
      <c r="H37" s="181"/>
      <c r="I37" s="181"/>
      <c r="L37" s="147">
        <v>30</v>
      </c>
      <c r="M37" s="148" t="str">
        <f>+'Simulador Efectivo LP'!C40</f>
        <v/>
      </c>
      <c r="N37" s="149" t="str">
        <f>+'Simulador Efectivo LP'!G40</f>
        <v/>
      </c>
      <c r="O37" s="149" t="str">
        <f>+'Simulador Efectivo LP'!P40</f>
        <v/>
      </c>
      <c r="P37" s="149" t="str">
        <f>+'Simulador Efectivo LP'!Q40</f>
        <v/>
      </c>
      <c r="Q37" s="150" t="str">
        <f>+'Simulador Efectivo LP'!R40</f>
        <v/>
      </c>
      <c r="R37" s="150" t="str">
        <f>+'Simulador Efectivo LP'!S40</f>
        <v/>
      </c>
      <c r="S37" s="151" t="str">
        <f>+'Simulador Efectivo LP'!T40</f>
        <v/>
      </c>
    </row>
    <row r="38" spans="3:19" ht="15" customHeight="1">
      <c r="C38" s="181"/>
      <c r="D38" s="181"/>
      <c r="E38" s="181"/>
      <c r="F38" s="181"/>
      <c r="G38" s="181"/>
      <c r="H38" s="181"/>
      <c r="I38" s="181"/>
      <c r="L38" s="147">
        <v>31</v>
      </c>
      <c r="M38" s="148" t="str">
        <f>+'Simulador Efectivo LP'!C41</f>
        <v/>
      </c>
      <c r="N38" s="149" t="str">
        <f>+'Simulador Efectivo LP'!G41</f>
        <v/>
      </c>
      <c r="O38" s="149" t="str">
        <f>+'Simulador Efectivo LP'!P41</f>
        <v/>
      </c>
      <c r="P38" s="149" t="str">
        <f>+'Simulador Efectivo LP'!Q41</f>
        <v/>
      </c>
      <c r="Q38" s="150" t="str">
        <f>+'Simulador Efectivo LP'!R41</f>
        <v/>
      </c>
      <c r="R38" s="150" t="str">
        <f>+'Simulador Efectivo LP'!S41</f>
        <v/>
      </c>
      <c r="S38" s="151" t="str">
        <f>+'Simulador Efectivo LP'!T41</f>
        <v/>
      </c>
    </row>
    <row r="39" spans="3:19" ht="15" customHeight="1">
      <c r="C39" s="170" t="s">
        <v>61</v>
      </c>
      <c r="D39" s="170"/>
      <c r="E39" s="170"/>
      <c r="F39" s="170"/>
      <c r="G39" s="170"/>
      <c r="H39" s="170"/>
      <c r="I39" s="170"/>
      <c r="L39" s="147">
        <v>32</v>
      </c>
      <c r="M39" s="148" t="str">
        <f>+'Simulador Efectivo LP'!C42</f>
        <v/>
      </c>
      <c r="N39" s="149" t="str">
        <f>+'Simulador Efectivo LP'!G42</f>
        <v/>
      </c>
      <c r="O39" s="149" t="str">
        <f>+'Simulador Efectivo LP'!P42</f>
        <v/>
      </c>
      <c r="P39" s="149" t="str">
        <f>+'Simulador Efectivo LP'!Q42</f>
        <v/>
      </c>
      <c r="Q39" s="150" t="str">
        <f>+'Simulador Efectivo LP'!R42</f>
        <v/>
      </c>
      <c r="R39" s="150" t="str">
        <f>+'Simulador Efectivo LP'!S42</f>
        <v/>
      </c>
      <c r="S39" s="151" t="str">
        <f>+'Simulador Efectivo LP'!T42</f>
        <v/>
      </c>
    </row>
    <row r="40" spans="3:19" ht="15" customHeight="1">
      <c r="C40" s="170"/>
      <c r="D40" s="170"/>
      <c r="E40" s="170"/>
      <c r="F40" s="170"/>
      <c r="G40" s="170"/>
      <c r="H40" s="170"/>
      <c r="I40" s="170"/>
      <c r="L40" s="147">
        <v>33</v>
      </c>
      <c r="M40" s="148" t="str">
        <f>+'Simulador Efectivo LP'!C43</f>
        <v/>
      </c>
      <c r="N40" s="149" t="str">
        <f>+'Simulador Efectivo LP'!G43</f>
        <v/>
      </c>
      <c r="O40" s="149" t="str">
        <f>+'Simulador Efectivo LP'!P43</f>
        <v/>
      </c>
      <c r="P40" s="149" t="str">
        <f>+'Simulador Efectivo LP'!Q43</f>
        <v/>
      </c>
      <c r="Q40" s="150" t="str">
        <f>+'Simulador Efectivo LP'!R43</f>
        <v/>
      </c>
      <c r="R40" s="150" t="str">
        <f>+'Simulador Efectivo LP'!S43</f>
        <v/>
      </c>
      <c r="S40" s="151" t="str">
        <f>+'Simulador Efectivo LP'!T43</f>
        <v/>
      </c>
    </row>
    <row r="41" spans="3:19" ht="15" customHeight="1">
      <c r="C41" s="170"/>
      <c r="D41" s="170"/>
      <c r="E41" s="170"/>
      <c r="F41" s="170"/>
      <c r="G41" s="170"/>
      <c r="H41" s="170"/>
      <c r="I41" s="170"/>
      <c r="L41" s="147">
        <v>34</v>
      </c>
      <c r="M41" s="148" t="str">
        <f>+'Simulador Efectivo LP'!C44</f>
        <v/>
      </c>
      <c r="N41" s="149" t="str">
        <f>+'Simulador Efectivo LP'!G44</f>
        <v/>
      </c>
      <c r="O41" s="149" t="str">
        <f>+'Simulador Efectivo LP'!P44</f>
        <v/>
      </c>
      <c r="P41" s="149" t="str">
        <f>+'Simulador Efectivo LP'!Q44</f>
        <v/>
      </c>
      <c r="Q41" s="150" t="str">
        <f>+'Simulador Efectivo LP'!R44</f>
        <v/>
      </c>
      <c r="R41" s="150" t="str">
        <f>+'Simulador Efectivo LP'!S44</f>
        <v/>
      </c>
      <c r="S41" s="151" t="str">
        <f>+'Simulador Efectivo LP'!T44</f>
        <v/>
      </c>
    </row>
    <row r="42" spans="3:19" ht="15" customHeight="1">
      <c r="C42" s="170"/>
      <c r="D42" s="170"/>
      <c r="E42" s="170"/>
      <c r="F42" s="170"/>
      <c r="G42" s="170"/>
      <c r="H42" s="170"/>
      <c r="I42" s="170"/>
      <c r="L42" s="147">
        <v>35</v>
      </c>
      <c r="M42" s="148" t="str">
        <f>+'Simulador Efectivo LP'!C45</f>
        <v/>
      </c>
      <c r="N42" s="149" t="str">
        <f>+'Simulador Efectivo LP'!G45</f>
        <v/>
      </c>
      <c r="O42" s="149" t="str">
        <f>+'Simulador Efectivo LP'!P45</f>
        <v/>
      </c>
      <c r="P42" s="149" t="str">
        <f>+'Simulador Efectivo LP'!Q45</f>
        <v/>
      </c>
      <c r="Q42" s="150" t="str">
        <f>+'Simulador Efectivo LP'!R45</f>
        <v/>
      </c>
      <c r="R42" s="150" t="str">
        <f>+'Simulador Efectivo LP'!S45</f>
        <v/>
      </c>
      <c r="S42" s="151" t="str">
        <f>+'Simulador Efectivo LP'!T45</f>
        <v/>
      </c>
    </row>
    <row r="43" spans="3:19" ht="15" customHeight="1" thickBot="1">
      <c r="C43" s="170"/>
      <c r="D43" s="170"/>
      <c r="E43" s="170"/>
      <c r="F43" s="170"/>
      <c r="G43" s="170"/>
      <c r="H43" s="170"/>
      <c r="I43" s="170"/>
      <c r="L43" s="152">
        <v>36</v>
      </c>
      <c r="M43" s="153" t="str">
        <f>+'Simulador Efectivo LP'!C46</f>
        <v/>
      </c>
      <c r="N43" s="154" t="str">
        <f>+'Simulador Efectivo LP'!G46</f>
        <v/>
      </c>
      <c r="O43" s="154" t="str">
        <f>+'Simulador Efectivo LP'!P46</f>
        <v/>
      </c>
      <c r="P43" s="154" t="str">
        <f>+'Simulador Efectivo LP'!Q46</f>
        <v/>
      </c>
      <c r="Q43" s="155" t="str">
        <f>+'Simulador Efectivo LP'!R46</f>
        <v/>
      </c>
      <c r="R43" s="156" t="str">
        <f>+'Simulador Efectivo LP'!S46</f>
        <v/>
      </c>
      <c r="S43" s="157" t="str">
        <f>+'Simulador Efectivo LP'!T46</f>
        <v/>
      </c>
    </row>
    <row r="44" spans="3:19" ht="15" customHeight="1" thickBot="1">
      <c r="C44" s="170"/>
      <c r="D44" s="170"/>
      <c r="E44" s="170"/>
      <c r="F44" s="170"/>
      <c r="G44" s="170"/>
      <c r="H44" s="170"/>
      <c r="I44" s="170"/>
      <c r="L44" s="171" t="s">
        <v>55</v>
      </c>
      <c r="M44" s="172"/>
      <c r="N44" s="172"/>
      <c r="O44" s="140">
        <f ca="1">SUM(O8:O43)</f>
        <v>5000</v>
      </c>
      <c r="P44" s="140">
        <f t="shared" ref="P44:S44" ca="1" si="0">SUM(P8:P43)</f>
        <v>744.40000000000055</v>
      </c>
      <c r="Q44" s="140">
        <f t="shared" ca="1" si="0"/>
        <v>5744.4000000000015</v>
      </c>
      <c r="R44" s="140">
        <f t="shared" si="0"/>
        <v>0</v>
      </c>
      <c r="S44" s="141">
        <f t="shared" ca="1" si="0"/>
        <v>5744.4000000000015</v>
      </c>
    </row>
    <row r="45" spans="3:19" ht="15" customHeight="1"/>
  </sheetData>
  <sheetProtection algorithmName="SHA-512" hashValue="Lz5jySUoRLuoWBnPGDluY96itRaoV9iICMuUC3mPPZUOkDvZdYy9CEEtPmFBBhatSkv6BK2IyyddPuUV2yUvLA==" saltValue="G99Ydq4yQFnPHwMzpW7B4A==" spinCount="100000" sheet="1" selectLockedCells="1"/>
  <mergeCells count="14">
    <mergeCell ref="C39:I44"/>
    <mergeCell ref="L44:N44"/>
    <mergeCell ref="L3:S4"/>
    <mergeCell ref="L6:L7"/>
    <mergeCell ref="M6:M7"/>
    <mergeCell ref="N6:N7"/>
    <mergeCell ref="O6:O7"/>
    <mergeCell ref="P6:P7"/>
    <mergeCell ref="B3:J4"/>
    <mergeCell ref="C19:I21"/>
    <mergeCell ref="Q6:Q7"/>
    <mergeCell ref="R6:R7"/>
    <mergeCell ref="S6:S7"/>
    <mergeCell ref="C33:I38"/>
  </mergeCells>
  <conditionalFormatting sqref="M8:S43">
    <cfRule type="containsBlanks" dxfId="0" priority="1" stopIfTrue="1">
      <formula>LEN(TRIM(M8))=0</formula>
    </cfRule>
  </conditionalFormatting>
  <dataValidations count="6">
    <dataValidation type="list" allowBlank="1" showInputMessage="1" showErrorMessage="1" sqref="G9" xr:uid="{00000000-0002-0000-0100-000000000000}">
      <formula1>Plazo</formula1>
    </dataValidation>
    <dataValidation type="list" allowBlank="1" showInputMessage="1" showErrorMessage="1" sqref="G11" xr:uid="{00000000-0002-0000-0100-000001000000}">
      <formula1>Dias</formula1>
    </dataValidation>
    <dataValidation type="decimal" allowBlank="1" showInputMessage="1" showErrorMessage="1" errorTitle="Importe fuera de límite" error="Por favor ingresar un importe entre S/ 500 y S/ 100,000" promptTitle="Importe a Desembolsar" prompt="Ingrese el importe que desea desembolsar" sqref="G7" xr:uid="{00000000-0002-0000-0100-000002000000}">
      <formula1>500</formula1>
      <formula2>100000</formula2>
    </dataValidation>
    <dataValidation type="list" allowBlank="1" showInputMessage="1" showErrorMessage="1" sqref="I8" xr:uid="{25F70B98-700B-4A50-B857-BE76BE32D4D7}">
      <formula1>NomTipo</formula1>
    </dataValidation>
    <dataValidation type="decimal" allowBlank="1" showInputMessage="1" showErrorMessage="1" errorTitle="Ingresar TEA Válida" error="Ingrese TEA válida entre 21% y 80% para Efectivo al Instante o entre 12.49% y 26.74% para Compra de Deuda " promptTitle="Ingrese TEA" prompt="Valores permitidos para Efectivo al Instante entre 21% y 80% y permitidos para Compra de Deuda entre 12.49% y 26.74%" sqref="G13" xr:uid="{85CA08F0-3E05-4D37-8D1E-11D47913BEC0}">
      <formula1>I13</formula1>
      <formula2>I14</formula2>
    </dataValidation>
    <dataValidation type="list" allowBlank="1" showInputMessage="1" showErrorMessage="1" sqref="I11" xr:uid="{D80487FE-5721-40D8-ABA9-6B077A913ADA}">
      <formula1>SegDesg</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1:AT301"/>
  <sheetViews>
    <sheetView showGridLines="0" zoomScale="130" zoomScaleNormal="130" workbookViewId="0">
      <selection activeCell="G4" sqref="G4"/>
    </sheetView>
  </sheetViews>
  <sheetFormatPr baseColWidth="10" defaultColWidth="0" defaultRowHeight="10.5" zeroHeight="1"/>
  <cols>
    <col min="1" max="1" width="5.7109375" style="50" customWidth="1"/>
    <col min="2" max="2" width="7.7109375" style="1" customWidth="1"/>
    <col min="3" max="3" width="11" style="1" customWidth="1"/>
    <col min="4" max="4" width="9" style="1" hidden="1" customWidth="1"/>
    <col min="5" max="5" width="11.28515625" style="1" hidden="1" customWidth="1"/>
    <col min="6" max="6" width="8.85546875" style="1" hidden="1" customWidth="1"/>
    <col min="7" max="7" width="11.28515625" style="1" customWidth="1"/>
    <col min="8" max="8" width="13.140625" style="1" hidden="1" customWidth="1"/>
    <col min="9" max="9" width="11.28515625" style="1" hidden="1" customWidth="1"/>
    <col min="10" max="10" width="10.7109375" style="1" hidden="1" customWidth="1"/>
    <col min="11" max="11" width="12.7109375" style="1" customWidth="1"/>
    <col min="12" max="12" width="5.7109375" style="59" hidden="1" customWidth="1"/>
    <col min="13" max="13" width="8.5703125" style="44" hidden="1" customWidth="1"/>
    <col min="14" max="14" width="6.28515625" style="44" hidden="1" customWidth="1"/>
    <col min="15" max="15" width="0.5703125" style="44" hidden="1" customWidth="1"/>
    <col min="16" max="16" width="9.5703125" style="44" customWidth="1"/>
    <col min="17" max="17" width="9.140625" style="44" customWidth="1"/>
    <col min="18" max="18" width="9.85546875" style="44" customWidth="1"/>
    <col min="19" max="19" width="16.28515625" style="44" customWidth="1"/>
    <col min="20" max="20" width="11.42578125" style="44" hidden="1" customWidth="1"/>
    <col min="21" max="21" width="5.7109375" style="44" customWidth="1"/>
    <col min="22" max="23" width="11.42578125" style="44" hidden="1"/>
    <col min="24" max="24" width="13.42578125" style="44" hidden="1"/>
    <col min="25" max="25" width="11.42578125" style="44" hidden="1"/>
    <col min="26" max="26" width="20" style="44" hidden="1"/>
    <col min="27" max="27" width="12.85546875" style="44" hidden="1"/>
    <col min="28" max="28" width="11.42578125" style="44" hidden="1"/>
    <col min="29" max="29" width="18.85546875" style="44" hidden="1"/>
    <col min="30" max="16384" width="11.42578125" style="44" hidden="1"/>
  </cols>
  <sheetData>
    <row r="1" spans="1:46" ht="11.25" customHeight="1" thickBot="1">
      <c r="P1" s="53"/>
    </row>
    <row r="2" spans="1:46" s="45" customFormat="1" ht="19.5" customHeight="1" thickBot="1">
      <c r="A2" s="71"/>
      <c r="B2" s="191" t="s">
        <v>26</v>
      </c>
      <c r="C2" s="192"/>
      <c r="D2" s="192"/>
      <c r="E2" s="192"/>
      <c r="F2" s="192"/>
      <c r="G2" s="192"/>
      <c r="H2" s="192"/>
      <c r="I2" s="192"/>
      <c r="J2" s="192"/>
      <c r="K2" s="192"/>
      <c r="L2" s="192"/>
      <c r="M2" s="192"/>
      <c r="N2" s="192"/>
      <c r="O2" s="192"/>
      <c r="P2" s="192"/>
      <c r="Q2" s="192"/>
      <c r="R2" s="192"/>
      <c r="S2" s="193"/>
      <c r="T2" s="69"/>
      <c r="U2" s="69"/>
      <c r="X2" s="46" t="s">
        <v>4</v>
      </c>
      <c r="Y2" s="47">
        <f>Y3*360</f>
        <v>0.26245989187358099</v>
      </c>
      <c r="Z2" s="44"/>
    </row>
    <row r="3" spans="1:46" ht="15.75" customHeight="1" thickBot="1">
      <c r="B3" s="189" t="s">
        <v>0</v>
      </c>
      <c r="C3" s="190"/>
      <c r="D3" s="190"/>
      <c r="E3" s="190"/>
      <c r="F3" s="190"/>
      <c r="G3" s="190"/>
      <c r="H3" s="190"/>
      <c r="I3" s="190"/>
      <c r="J3" s="190"/>
      <c r="K3" s="190"/>
      <c r="L3" s="190"/>
      <c r="M3" s="190"/>
      <c r="N3" s="190"/>
      <c r="O3" s="190"/>
      <c r="P3" s="190"/>
      <c r="Q3" s="190"/>
      <c r="R3" s="190"/>
      <c r="S3" s="190"/>
      <c r="T3" s="70" t="s">
        <v>42</v>
      </c>
      <c r="U3" s="70">
        <v>19.899999999999999</v>
      </c>
      <c r="X3" s="46" t="s">
        <v>5</v>
      </c>
      <c r="Y3" s="48">
        <f>(Y4+1)^(1/30)-1</f>
        <v>7.2905525520439163E-4</v>
      </c>
    </row>
    <row r="4" spans="1:46" ht="15.75" customHeight="1">
      <c r="B4" s="3" t="s">
        <v>37</v>
      </c>
      <c r="C4" s="4"/>
      <c r="D4" s="4"/>
      <c r="E4" s="4"/>
      <c r="F4" s="4"/>
      <c r="G4" s="68">
        <f>+'Simulador TC XL'!G7</f>
        <v>5000</v>
      </c>
      <c r="H4" s="4"/>
      <c r="J4" s="4"/>
      <c r="L4" s="49"/>
      <c r="M4" s="49"/>
      <c r="N4" s="49"/>
      <c r="O4" s="49"/>
      <c r="Q4" s="2" t="s">
        <v>39</v>
      </c>
      <c r="S4" s="83">
        <f ca="1">+'Simulador TC XL'!G15</f>
        <v>45910</v>
      </c>
      <c r="T4" s="49"/>
      <c r="U4" s="49"/>
      <c r="X4" s="46" t="s">
        <v>1</v>
      </c>
      <c r="Y4" s="51">
        <f>(S6+1)^(30/360)-1</f>
        <v>2.2104450593615876E-2</v>
      </c>
    </row>
    <row r="5" spans="1:46" ht="15.75" customHeight="1">
      <c r="B5" s="3" t="s">
        <v>2</v>
      </c>
      <c r="C5" s="4"/>
      <c r="D5" s="4"/>
      <c r="E5" s="4"/>
      <c r="F5" s="4"/>
      <c r="G5" s="5">
        <f>+'Simulador TC XL'!G9</f>
        <v>10</v>
      </c>
      <c r="H5" s="4"/>
      <c r="J5" s="4"/>
      <c r="L5" s="49"/>
      <c r="M5" s="49"/>
      <c r="N5" s="49"/>
      <c r="O5" s="49"/>
      <c r="Q5" s="2" t="s">
        <v>34</v>
      </c>
      <c r="S5" s="6" t="s">
        <v>33</v>
      </c>
      <c r="T5" s="49"/>
      <c r="U5" s="49"/>
      <c r="X5" s="50"/>
      <c r="Y5" s="50"/>
    </row>
    <row r="6" spans="1:46" ht="15.75" customHeight="1">
      <c r="B6" s="3" t="s">
        <v>32</v>
      </c>
      <c r="C6" s="4"/>
      <c r="D6" s="4"/>
      <c r="E6" s="4"/>
      <c r="F6" s="4"/>
      <c r="G6" s="7">
        <f>+VLOOKUP('Simulador TC XL'!G11,Pagos,2,0)</f>
        <v>10</v>
      </c>
      <c r="H6" s="4"/>
      <c r="J6" s="4"/>
      <c r="L6" s="49"/>
      <c r="M6" s="49"/>
      <c r="N6" s="49"/>
      <c r="O6" s="49"/>
      <c r="Q6" s="2" t="s">
        <v>3</v>
      </c>
      <c r="S6" s="43">
        <f>'Simulador TC XL'!G13</f>
        <v>0.3</v>
      </c>
      <c r="T6" s="88">
        <f ca="1">+IF(S4+W10&gt;DATE(YEAR(S4+W10),MONTH(S4+W10),G6),DATE(YEAR(S4+W10),MONTH(S4+W10)+1,G6),DATE(YEAR(S4+W10),MONTH(S4+W10),G6))</f>
        <v>45940</v>
      </c>
      <c r="U6" s="49"/>
      <c r="Z6" s="52"/>
      <c r="AA6" s="53"/>
      <c r="AO6" s="49"/>
      <c r="AP6" s="49"/>
      <c r="AQ6" s="49"/>
      <c r="AR6" s="49"/>
      <c r="AS6" s="49"/>
      <c r="AT6" s="49"/>
    </row>
    <row r="7" spans="1:46" ht="15.75" customHeight="1">
      <c r="B7" s="8" t="s">
        <v>29</v>
      </c>
      <c r="C7" s="4"/>
      <c r="D7" s="4"/>
      <c r="E7" s="4"/>
      <c r="F7" s="4"/>
      <c r="G7" s="87">
        <v>0.03</v>
      </c>
      <c r="H7" s="4"/>
      <c r="J7" s="4"/>
      <c r="L7" s="49"/>
      <c r="M7" s="49"/>
      <c r="N7" s="49"/>
      <c r="O7" s="49"/>
      <c r="Q7" s="4" t="s">
        <v>28</v>
      </c>
      <c r="S7" s="43">
        <f>+IF('Simulador TC XL'!I11="NO",'Simulador TC XL'!G13,POWER(1+IRR(T10:T46,POWER(1+S6,1/12)-1),12)-1)</f>
        <v>0.3</v>
      </c>
      <c r="T7" s="49"/>
      <c r="U7" s="49"/>
      <c r="AA7" s="53"/>
      <c r="AO7" s="49"/>
      <c r="AP7" s="49"/>
      <c r="AQ7" s="49"/>
      <c r="AR7" s="49"/>
      <c r="AS7" s="49"/>
      <c r="AT7" s="49"/>
    </row>
    <row r="8" spans="1:46" ht="15.75" customHeight="1" thickBot="1">
      <c r="B8" s="8" t="s">
        <v>30</v>
      </c>
      <c r="C8" s="4"/>
      <c r="D8" s="4"/>
      <c r="E8" s="4"/>
      <c r="F8" s="4"/>
      <c r="G8" s="84">
        <f ca="1">+IF(S4+W10&gt;DATE(YEAR(S4+W10),MONTH(S4+W10),G6),DATE(YEAR(S4+W10),MONTH(S4+W10)+1,G6),DATE(YEAR(S4+W10),MONTH(S4+W10),G6))</f>
        <v>45940</v>
      </c>
      <c r="H8" s="86">
        <f ca="1">+S4+2</f>
        <v>45912</v>
      </c>
      <c r="J8" s="4"/>
      <c r="L8" s="49"/>
      <c r="M8" s="49"/>
      <c r="N8" s="49"/>
      <c r="O8" s="49"/>
      <c r="Q8" s="2" t="s">
        <v>6</v>
      </c>
      <c r="S8" s="85">
        <f ca="1">+IF(G8&lt;DATE(YEAR($G$8),MONTH($G$8),VLOOKUP(G6,Ciclos,2,0)),DATE(YEAR($G$8),MONTH($G$8),VLOOKUP(G6,Ciclos,2,0)),DATE(YEAR($G$8),MONTH($G$8)+1,VLOOKUP(G6,Ciclos,2,0)))</f>
        <v>45966</v>
      </c>
      <c r="T8" s="49"/>
      <c r="U8" s="49"/>
      <c r="AA8" s="52"/>
      <c r="AO8" s="49"/>
      <c r="AP8" s="49"/>
      <c r="AQ8" s="49"/>
      <c r="AR8" s="49"/>
      <c r="AS8" s="49"/>
      <c r="AT8" s="49"/>
    </row>
    <row r="9" spans="1:46" ht="15.75" customHeight="1" thickBot="1">
      <c r="B9" s="194" t="s">
        <v>7</v>
      </c>
      <c r="C9" s="195"/>
      <c r="D9" s="195"/>
      <c r="E9" s="195"/>
      <c r="F9" s="195"/>
      <c r="G9" s="195"/>
      <c r="H9" s="195"/>
      <c r="I9" s="195"/>
      <c r="J9" s="195"/>
      <c r="K9" s="195"/>
      <c r="L9" s="195"/>
      <c r="M9" s="195"/>
      <c r="N9" s="195"/>
      <c r="O9" s="195"/>
      <c r="P9" s="195"/>
      <c r="Q9" s="195"/>
      <c r="R9" s="195"/>
      <c r="S9" s="196"/>
      <c r="T9" s="49"/>
      <c r="U9" s="49"/>
    </row>
    <row r="10" spans="1:46" ht="21.75" thickBot="1">
      <c r="B10" s="89" t="s">
        <v>8</v>
      </c>
      <c r="C10" s="90" t="s">
        <v>9</v>
      </c>
      <c r="D10" s="91" t="s">
        <v>10</v>
      </c>
      <c r="E10" s="91" t="s">
        <v>11</v>
      </c>
      <c r="F10" s="91" t="s">
        <v>12</v>
      </c>
      <c r="G10" s="90" t="s">
        <v>35</v>
      </c>
      <c r="H10" s="90" t="s">
        <v>13</v>
      </c>
      <c r="I10" s="90" t="s">
        <v>14</v>
      </c>
      <c r="J10" s="101" t="s">
        <v>15</v>
      </c>
      <c r="K10" s="102" t="s">
        <v>38</v>
      </c>
      <c r="L10" s="103"/>
      <c r="M10" s="104" t="s">
        <v>16</v>
      </c>
      <c r="N10" s="104" t="s">
        <v>17</v>
      </c>
      <c r="O10" s="105"/>
      <c r="P10" s="90" t="s">
        <v>27</v>
      </c>
      <c r="Q10" s="90" t="s">
        <v>14</v>
      </c>
      <c r="R10" s="90" t="s">
        <v>15</v>
      </c>
      <c r="S10" s="92" t="s">
        <v>41</v>
      </c>
      <c r="T10" s="54">
        <f>-G4</f>
        <v>-5000</v>
      </c>
      <c r="U10" s="49"/>
      <c r="V10" s="44" t="s">
        <v>40</v>
      </c>
      <c r="W10" s="44">
        <v>2</v>
      </c>
      <c r="Z10" s="109" t="s">
        <v>30</v>
      </c>
      <c r="AA10" s="110" t="s">
        <v>31</v>
      </c>
      <c r="AB10" s="111" t="s">
        <v>32</v>
      </c>
    </row>
    <row r="11" spans="1:46" ht="15" customHeight="1" thickBot="1">
      <c r="B11" s="10">
        <v>1</v>
      </c>
      <c r="C11" s="11">
        <f ca="1">IF(G5&gt;=B11,S8,"")</f>
        <v>45966</v>
      </c>
      <c r="D11" s="12">
        <f ca="1">IF($G$5&gt;=B11,C11-S4+1,"-")</f>
        <v>57</v>
      </c>
      <c r="E11" s="12">
        <f ca="1">IF($G$5&gt;=B11,D11,"-")</f>
        <v>57</v>
      </c>
      <c r="F11" s="13">
        <f ca="1">IF($G$5&gt;=B11,ROUND(1/((1+$Y$3)^E11),9),"-")</f>
        <v>0.95930999500000003</v>
      </c>
      <c r="G11" s="14">
        <f>IF($G$5&gt;=B11,G4,"")</f>
        <v>5000</v>
      </c>
      <c r="H11" s="14">
        <f ca="1">IF($G$5=B11,G11,IF($G$5&gt;=B11,J11-I11,"-"))</f>
        <v>362.36</v>
      </c>
      <c r="I11" s="14">
        <f t="shared" ref="I11:I46" ca="1" si="0">IF($G$5=B11,J11-H11,IF($G$5&gt;=B11,ROUND(G11*((1+$Y$3)^D11-1),2),"-"))</f>
        <v>212.08</v>
      </c>
      <c r="J11" s="14">
        <f t="shared" ref="J11:J46" ca="1" si="1">IF($G$5&gt;=B11,ROUND($G$4/$F$47,2),"-")</f>
        <v>574.44000000000005</v>
      </c>
      <c r="K11" s="14">
        <f t="shared" ref="K11:K46" ca="1" si="2">IF($G$5&gt;=B11,G11-H11,"-")</f>
        <v>4637.6400000000003</v>
      </c>
      <c r="L11" s="98"/>
      <c r="M11" s="99">
        <f ca="1">IF($G$5&gt;=B11,J11,"")</f>
        <v>574.44000000000005</v>
      </c>
      <c r="N11" s="99">
        <f t="shared" ref="N11:N46" ca="1" si="3">IF($G$5&gt;=B11,IF(M11&lt;I11,I11-M11,0),"-")</f>
        <v>0</v>
      </c>
      <c r="O11" s="100">
        <v>0</v>
      </c>
      <c r="P11" s="73">
        <f ca="1">IF($G$5&gt;=B11,(IF(((SUM($H$11:H11))&lt;=0),1,((SUM($H$11:H11)-(SUM($P$10:P10)))))),"")</f>
        <v>362.36</v>
      </c>
      <c r="Q11" s="73">
        <f ca="1">IF($G$5&gt;=B11,R11-P11,"")</f>
        <v>212.08000000000004</v>
      </c>
      <c r="R11" s="98">
        <f t="shared" ref="R11:R46" ca="1" si="4">M11</f>
        <v>574.44000000000005</v>
      </c>
      <c r="S11" s="72">
        <f>+IF($G$5&gt;=B11,IF('Simulador TC XL'!$I$11="NO",0,IF(G11*$G$7&gt;SDMax,SDMax,G11*$G$7)),"")</f>
        <v>0</v>
      </c>
      <c r="T11" s="55">
        <f ca="1">+IF($G$5&gt;=B11,R11+S11,"")</f>
        <v>574.44000000000005</v>
      </c>
      <c r="U11" s="182"/>
      <c r="W11" s="63">
        <f ca="1">+YEAR(C11)</f>
        <v>2025</v>
      </c>
      <c r="X11" s="63">
        <f ca="1">+MONTH(C11)</f>
        <v>11</v>
      </c>
      <c r="Y11" s="63">
        <f ca="1">+DAY(C11)</f>
        <v>5</v>
      </c>
      <c r="Z11" s="112">
        <v>1</v>
      </c>
      <c r="AA11" s="113">
        <v>25</v>
      </c>
      <c r="AB11" s="114">
        <f t="shared" ref="AB11:AB21" si="5">+Z11</f>
        <v>1</v>
      </c>
    </row>
    <row r="12" spans="1:46" ht="15" customHeight="1" thickBot="1">
      <c r="B12" s="10">
        <v>2</v>
      </c>
      <c r="C12" s="11">
        <f ca="1">IF($G$5&gt;=B12,VALUE(CONCATENATE(Y12,"/",X12,"/",W12)),"")</f>
        <v>45996</v>
      </c>
      <c r="D12" s="12">
        <f t="shared" ref="D12:D14" ca="1" si="6">IF($G$5&gt;=B12,C12-C11,"-")</f>
        <v>30</v>
      </c>
      <c r="E12" s="12">
        <f t="shared" ref="E12:E14" ca="1" si="7">IF($G$5&gt;=B12,E11+D12,"-")</f>
        <v>87</v>
      </c>
      <c r="F12" s="13">
        <f t="shared" ref="F12:F14" ca="1" si="8">IF($G$5&gt;=B12,ROUND(1/((1+$Y$3)^E12),9),"-")</f>
        <v>0.93856356299999999</v>
      </c>
      <c r="G12" s="14">
        <f t="shared" ref="G12:G14" ca="1" si="9">IF($G$5&gt;=B12,K11,"")</f>
        <v>4637.6400000000003</v>
      </c>
      <c r="H12" s="14">
        <f t="shared" ref="H12:H46" ca="1" si="10">IF($G$5=B12,G12,IF($G$5&gt;=B12,J12-I12,"-"))</f>
        <v>471.93000000000006</v>
      </c>
      <c r="I12" s="14">
        <f t="shared" ca="1" si="0"/>
        <v>102.51</v>
      </c>
      <c r="J12" s="14">
        <f t="shared" ca="1" si="1"/>
        <v>574.44000000000005</v>
      </c>
      <c r="K12" s="14">
        <f t="shared" ca="1" si="2"/>
        <v>4165.71</v>
      </c>
      <c r="L12" s="98"/>
      <c r="M12" s="99">
        <f t="shared" ref="M12:M14" ca="1" si="11">IF($G$5&gt;=B12,J12,"")</f>
        <v>574.44000000000005</v>
      </c>
      <c r="N12" s="99">
        <f t="shared" ca="1" si="3"/>
        <v>0</v>
      </c>
      <c r="O12" s="100"/>
      <c r="P12" s="73">
        <f ca="1">IF($G$5&gt;=B12,(IF(((SUM($H$11:H12)-(SUM($P$10:P11)))&lt;=0),1,((SUM($H$11:H12)-(SUM($P$10:P11)))))),"")</f>
        <v>471.93000000000006</v>
      </c>
      <c r="Q12" s="73">
        <f t="shared" ref="Q12:Q14" ca="1" si="12">IF($G$5&gt;=B12,R12-P12,"")</f>
        <v>102.50999999999999</v>
      </c>
      <c r="R12" s="98">
        <f t="shared" ca="1" si="4"/>
        <v>574.44000000000005</v>
      </c>
      <c r="S12" s="72">
        <f>+IF($G$5&gt;=B12,IF('Simulador TC XL'!$I$11="NO",0,IF(G12*$G$7&gt;SDMax,SDMax,G12*$G$7)),"")</f>
        <v>0</v>
      </c>
      <c r="T12" s="55">
        <f t="shared" ref="T12:T46" ca="1" si="13">+IF($G$5&gt;=B12,R12+S12,"")</f>
        <v>574.44000000000005</v>
      </c>
      <c r="U12" s="182"/>
      <c r="W12" s="63">
        <f t="shared" ref="W12:W46" ca="1" si="14">IF(VALUE(X11)=12,TEXT(VALUE(W11)+1,"0000"),W11)</f>
        <v>2025</v>
      </c>
      <c r="X12" s="63" t="str">
        <f t="shared" ref="X12:X75" ca="1" si="15">IF(VALUE(X11)=12,"01",TEXT(VALUE(X11)+1,"00"))</f>
        <v>12</v>
      </c>
      <c r="Y12" s="63">
        <f t="shared" ref="Y12:Y75" ca="1" si="16">Y11</f>
        <v>5</v>
      </c>
      <c r="Z12" s="112">
        <v>6</v>
      </c>
      <c r="AA12" s="113">
        <v>1</v>
      </c>
      <c r="AB12" s="114">
        <f t="shared" si="5"/>
        <v>6</v>
      </c>
      <c r="AE12" s="52"/>
    </row>
    <row r="13" spans="1:46" ht="15" customHeight="1" thickBot="1">
      <c r="B13" s="10">
        <v>3</v>
      </c>
      <c r="C13" s="11">
        <f t="shared" ref="C13:C14" ca="1" si="17">IF($G$5&gt;=B13,VALUE(CONCATENATE(Y13,"/",X13,"/",W13)),"")</f>
        <v>46027</v>
      </c>
      <c r="D13" s="12">
        <f t="shared" ca="1" si="6"/>
        <v>31</v>
      </c>
      <c r="E13" s="12">
        <f t="shared" ca="1" si="7"/>
        <v>118</v>
      </c>
      <c r="F13" s="13">
        <f t="shared" ca="1" si="8"/>
        <v>0.91759682300000001</v>
      </c>
      <c r="G13" s="14">
        <f t="shared" ca="1" si="9"/>
        <v>4165.71</v>
      </c>
      <c r="H13" s="14">
        <f t="shared" ca="1" si="10"/>
        <v>479.26000000000005</v>
      </c>
      <c r="I13" s="14">
        <f t="shared" ca="1" si="0"/>
        <v>95.18</v>
      </c>
      <c r="J13" s="14">
        <f t="shared" ca="1" si="1"/>
        <v>574.44000000000005</v>
      </c>
      <c r="K13" s="14">
        <f t="shared" ca="1" si="2"/>
        <v>3686.45</v>
      </c>
      <c r="L13" s="98"/>
      <c r="M13" s="99">
        <f t="shared" ca="1" si="11"/>
        <v>574.44000000000005</v>
      </c>
      <c r="N13" s="99">
        <f t="shared" ca="1" si="3"/>
        <v>0</v>
      </c>
      <c r="O13" s="100"/>
      <c r="P13" s="73">
        <f ca="1">IF($G$5&gt;=B13,(IF(((SUM($H$11:H13))&lt;=0),1,((SUM($H$11:H13)-(SUM($P$10:P12)))))),"")</f>
        <v>479.2600000000001</v>
      </c>
      <c r="Q13" s="73">
        <f t="shared" ca="1" si="12"/>
        <v>95.17999999999995</v>
      </c>
      <c r="R13" s="98">
        <f t="shared" ca="1" si="4"/>
        <v>574.44000000000005</v>
      </c>
      <c r="S13" s="72">
        <f>+IF($G$5&gt;=B13,IF('Simulador TC XL'!$I$11="NO",0,IF(G13*$G$7&gt;SDMax,SDMax,G13*$G$7)),"")</f>
        <v>0</v>
      </c>
      <c r="T13" s="55">
        <f t="shared" ca="1" si="13"/>
        <v>574.44000000000005</v>
      </c>
      <c r="U13" s="57"/>
      <c r="W13" s="63" t="str">
        <f ca="1">IF(VALUE(X12)=12,TEXT(VALUE(W12)+1,"0000"),W12)</f>
        <v>2026</v>
      </c>
      <c r="X13" s="63" t="str">
        <f ca="1">IF(VALUE(X12)=12,"01",TEXT(VALUE(X12)+1,"00"))</f>
        <v>01</v>
      </c>
      <c r="Y13" s="63">
        <f ca="1">Y12</f>
        <v>5</v>
      </c>
      <c r="Z13" s="112">
        <v>8</v>
      </c>
      <c r="AA13" s="113">
        <v>3</v>
      </c>
      <c r="AB13" s="114">
        <f t="shared" si="5"/>
        <v>8</v>
      </c>
      <c r="AC13" s="52"/>
      <c r="AD13" s="52"/>
      <c r="AE13" s="58"/>
      <c r="AF13" s="52"/>
      <c r="AG13" s="52"/>
    </row>
    <row r="14" spans="1:46" ht="15" customHeight="1" thickBot="1">
      <c r="B14" s="10">
        <v>4</v>
      </c>
      <c r="C14" s="11">
        <f t="shared" ca="1" si="17"/>
        <v>46058</v>
      </c>
      <c r="D14" s="12">
        <f t="shared" ca="1" si="6"/>
        <v>31</v>
      </c>
      <c r="E14" s="12">
        <f t="shared" ca="1" si="7"/>
        <v>149</v>
      </c>
      <c r="F14" s="13">
        <f t="shared" ca="1" si="8"/>
        <v>0.89709846299999996</v>
      </c>
      <c r="G14" s="14">
        <f t="shared" ca="1" si="9"/>
        <v>3686.45</v>
      </c>
      <c r="H14" s="14">
        <f t="shared" ca="1" si="10"/>
        <v>490.21000000000004</v>
      </c>
      <c r="I14" s="14">
        <f t="shared" ca="1" si="0"/>
        <v>84.23</v>
      </c>
      <c r="J14" s="14">
        <f t="shared" ca="1" si="1"/>
        <v>574.44000000000005</v>
      </c>
      <c r="K14" s="14">
        <f t="shared" ca="1" si="2"/>
        <v>3196.24</v>
      </c>
      <c r="L14" s="98"/>
      <c r="M14" s="99">
        <f t="shared" ca="1" si="11"/>
        <v>574.44000000000005</v>
      </c>
      <c r="N14" s="99">
        <f t="shared" ca="1" si="3"/>
        <v>0</v>
      </c>
      <c r="O14" s="100"/>
      <c r="P14" s="73">
        <f ca="1">IF($G$5&gt;=B14,(IF(((SUM($H$11:H14))&lt;=0),1,((SUM($H$11:H14)-(SUM($P$10:P13)))))),"")</f>
        <v>490.21000000000004</v>
      </c>
      <c r="Q14" s="73">
        <f t="shared" ca="1" si="12"/>
        <v>84.230000000000018</v>
      </c>
      <c r="R14" s="98">
        <f t="shared" ca="1" si="4"/>
        <v>574.44000000000005</v>
      </c>
      <c r="S14" s="72">
        <f>+IF($G$5&gt;=B14,IF('Simulador TC XL'!$I$11="NO",0,IF(G14*$G$7&gt;SDMax,SDMax,G14*$G$7)),"")</f>
        <v>0</v>
      </c>
      <c r="T14" s="55">
        <f t="shared" ca="1" si="13"/>
        <v>574.44000000000005</v>
      </c>
      <c r="U14" s="57"/>
      <c r="W14" s="63" t="str">
        <f t="shared" ca="1" si="14"/>
        <v>2026</v>
      </c>
      <c r="X14" s="63" t="str">
        <f t="shared" ca="1" si="15"/>
        <v>02</v>
      </c>
      <c r="Y14" s="63">
        <f t="shared" ca="1" si="16"/>
        <v>5</v>
      </c>
      <c r="Z14" s="112">
        <v>10</v>
      </c>
      <c r="AA14" s="113">
        <v>5</v>
      </c>
      <c r="AB14" s="114">
        <f t="shared" si="5"/>
        <v>10</v>
      </c>
      <c r="AC14" s="52"/>
      <c r="AD14" s="52"/>
      <c r="AE14" s="52"/>
      <c r="AF14" s="58"/>
      <c r="AG14" s="52"/>
    </row>
    <row r="15" spans="1:46" ht="15" customHeight="1" thickBot="1">
      <c r="B15" s="10">
        <v>5</v>
      </c>
      <c r="C15" s="11">
        <f ca="1">IF($G$5&gt;=B15,VALUE(CONCATENATE(Y15,"/",X15,"/",W15)),"")</f>
        <v>46086</v>
      </c>
      <c r="D15" s="12">
        <f t="shared" ref="D15" ca="1" si="18">IF($G$5&gt;=B15,C15-C14,"-")</f>
        <v>28</v>
      </c>
      <c r="E15" s="12">
        <f t="shared" ref="E15" ca="1" si="19">IF($G$5&gt;=B15,E14+D15,"-")</f>
        <v>177</v>
      </c>
      <c r="F15" s="13">
        <f ca="1">IF($G$5&gt;=B15,ROUND(1/((1+$Y$3)^E15),9),"-")</f>
        <v>0.87897768899999995</v>
      </c>
      <c r="G15" s="14">
        <f ca="1">IF($G$5&gt;=B15,K14,"")</f>
        <v>3196.24</v>
      </c>
      <c r="H15" s="14">
        <f t="shared" ca="1" si="10"/>
        <v>508.55000000000007</v>
      </c>
      <c r="I15" s="14">
        <f t="shared" ca="1" si="0"/>
        <v>65.89</v>
      </c>
      <c r="J15" s="14">
        <f t="shared" ca="1" si="1"/>
        <v>574.44000000000005</v>
      </c>
      <c r="K15" s="14">
        <f t="shared" ca="1" si="2"/>
        <v>2687.6899999999996</v>
      </c>
      <c r="L15" s="98"/>
      <c r="M15" s="99">
        <f ca="1">IF($G$5&gt;=B15,J15,"")</f>
        <v>574.44000000000005</v>
      </c>
      <c r="N15" s="99">
        <f t="shared" ca="1" si="3"/>
        <v>0</v>
      </c>
      <c r="O15" s="100"/>
      <c r="P15" s="73">
        <f ca="1">IF($G$5&gt;=B15,(IF(((SUM($H$11:H15))&lt;=0),1,((SUM($H$11:H15)-(SUM($P$10:P14)))))),"")</f>
        <v>508.55000000000018</v>
      </c>
      <c r="Q15" s="73">
        <f ca="1">IF($G$5&gt;=B15,R15-P15,"")</f>
        <v>65.889999999999873</v>
      </c>
      <c r="R15" s="98">
        <f t="shared" ca="1" si="4"/>
        <v>574.44000000000005</v>
      </c>
      <c r="S15" s="72">
        <f>+IF($G$5&gt;=B15,IF('Simulador TC XL'!$I$11="NO",0,IF(G15*$G$7&gt;SDMax,SDMax,G15*$G$7)),"")</f>
        <v>0</v>
      </c>
      <c r="T15" s="55">
        <f t="shared" ca="1" si="13"/>
        <v>574.44000000000005</v>
      </c>
      <c r="U15" s="57"/>
      <c r="W15" s="63" t="str">
        <f t="shared" ca="1" si="14"/>
        <v>2026</v>
      </c>
      <c r="X15" s="63" t="str">
        <f t="shared" ca="1" si="15"/>
        <v>03</v>
      </c>
      <c r="Y15" s="63">
        <f t="shared" ca="1" si="16"/>
        <v>5</v>
      </c>
      <c r="Z15" s="112">
        <v>12</v>
      </c>
      <c r="AA15" s="113">
        <v>7</v>
      </c>
      <c r="AB15" s="114">
        <f t="shared" si="5"/>
        <v>12</v>
      </c>
      <c r="AC15" s="52"/>
      <c r="AD15" s="52"/>
      <c r="AE15" s="52"/>
      <c r="AF15" s="58"/>
      <c r="AG15" s="52"/>
    </row>
    <row r="16" spans="1:46" ht="15" customHeight="1" thickBot="1">
      <c r="B16" s="10">
        <v>6</v>
      </c>
      <c r="C16" s="11">
        <f t="shared" ref="C16:C46" ca="1" si="20">IF($G$5&gt;=B16,VALUE(CONCATENATE(Y16,"/",X16,"/",W16)),"")</f>
        <v>46117</v>
      </c>
      <c r="D16" s="12">
        <f t="shared" ref="D16:D46" ca="1" si="21">IF($G$5&gt;=B16,C16-C15,"-")</f>
        <v>31</v>
      </c>
      <c r="E16" s="12">
        <f t="shared" ref="E16:E46" ca="1" si="22">IF($G$5&gt;=B16,E15+D16,"-")</f>
        <v>208</v>
      </c>
      <c r="F16" s="13">
        <f t="shared" ref="F16:F46" ca="1" si="23">IF($G$5&gt;=B16,ROUND(1/((1+$Y$3)^E16),9),"-")</f>
        <v>0.859342049</v>
      </c>
      <c r="G16" s="14">
        <f t="shared" ref="G16:G46" ca="1" si="24">IF($G$5&gt;=B16,K15,"")</f>
        <v>2687.6899999999996</v>
      </c>
      <c r="H16" s="14">
        <f t="shared" ca="1" si="10"/>
        <v>513.03000000000009</v>
      </c>
      <c r="I16" s="14">
        <f t="shared" ca="1" si="0"/>
        <v>61.41</v>
      </c>
      <c r="J16" s="14">
        <f t="shared" ca="1" si="1"/>
        <v>574.44000000000005</v>
      </c>
      <c r="K16" s="14">
        <f t="shared" ca="1" si="2"/>
        <v>2174.6599999999994</v>
      </c>
      <c r="L16" s="98"/>
      <c r="M16" s="99">
        <f t="shared" ref="M16:M46" ca="1" si="25">IF($G$5&gt;=B16,J16,"")</f>
        <v>574.44000000000005</v>
      </c>
      <c r="N16" s="99">
        <f t="shared" ca="1" si="3"/>
        <v>0</v>
      </c>
      <c r="O16" s="100"/>
      <c r="P16" s="73">
        <f ca="1">IF($G$5&gt;=B16,(IF(((SUM($H$11:H16))&lt;=0),1,((SUM($H$11:H16)-(SUM($P$10:P15)))))),"")</f>
        <v>513.0300000000002</v>
      </c>
      <c r="Q16" s="73">
        <f t="shared" ref="Q16:Q46" ca="1" si="26">IF($G$5&gt;=B16,R16-P16,"")</f>
        <v>61.409999999999854</v>
      </c>
      <c r="R16" s="98">
        <f t="shared" ca="1" si="4"/>
        <v>574.44000000000005</v>
      </c>
      <c r="S16" s="72">
        <f>+IF($G$5&gt;=B16,IF('Simulador TC XL'!$I$11="NO",0,IF(G16*$G$7&gt;SDMax,SDMax,G16*$G$7)),"")</f>
        <v>0</v>
      </c>
      <c r="T16" s="55">
        <f t="shared" ca="1" si="13"/>
        <v>574.44000000000005</v>
      </c>
      <c r="U16" s="57"/>
      <c r="W16" s="63" t="str">
        <f t="shared" ca="1" si="14"/>
        <v>2026</v>
      </c>
      <c r="X16" s="63" t="str">
        <f t="shared" ca="1" si="15"/>
        <v>04</v>
      </c>
      <c r="Y16" s="63">
        <f t="shared" ca="1" si="16"/>
        <v>5</v>
      </c>
      <c r="Z16" s="112">
        <v>15</v>
      </c>
      <c r="AA16" s="113">
        <v>10</v>
      </c>
      <c r="AB16" s="114">
        <f t="shared" si="5"/>
        <v>15</v>
      </c>
      <c r="AC16" s="52"/>
      <c r="AD16" s="52"/>
      <c r="AE16" s="58"/>
      <c r="AF16" s="52"/>
      <c r="AG16" s="52"/>
    </row>
    <row r="17" spans="2:33" ht="15" customHeight="1" thickBot="1">
      <c r="B17" s="10">
        <v>7</v>
      </c>
      <c r="C17" s="11">
        <f t="shared" ca="1" si="20"/>
        <v>46147</v>
      </c>
      <c r="D17" s="12">
        <f t="shared" ca="1" si="21"/>
        <v>30</v>
      </c>
      <c r="E17" s="12">
        <f t="shared" ca="1" si="22"/>
        <v>238</v>
      </c>
      <c r="F17" s="13">
        <f t="shared" ca="1" si="23"/>
        <v>0.84075756499999998</v>
      </c>
      <c r="G17" s="14">
        <f t="shared" ca="1" si="24"/>
        <v>2174.6599999999994</v>
      </c>
      <c r="H17" s="14">
        <f t="shared" ca="1" si="10"/>
        <v>526.37</v>
      </c>
      <c r="I17" s="14">
        <f t="shared" ca="1" si="0"/>
        <v>48.07</v>
      </c>
      <c r="J17" s="14">
        <f t="shared" ca="1" si="1"/>
        <v>574.44000000000005</v>
      </c>
      <c r="K17" s="14">
        <f t="shared" ca="1" si="2"/>
        <v>1648.2899999999995</v>
      </c>
      <c r="L17" s="98"/>
      <c r="M17" s="99">
        <f t="shared" ca="1" si="25"/>
        <v>574.44000000000005</v>
      </c>
      <c r="N17" s="99">
        <f t="shared" ca="1" si="3"/>
        <v>0</v>
      </c>
      <c r="O17" s="100"/>
      <c r="P17" s="73">
        <f ca="1">IF($G$5&gt;=B17,(IF(((SUM($H$11:H17))&lt;=0),1,((SUM($H$11:H17)-(SUM($P$10:P16)))))),"")</f>
        <v>526.36999999999989</v>
      </c>
      <c r="Q17" s="73">
        <f t="shared" ca="1" si="26"/>
        <v>48.070000000000164</v>
      </c>
      <c r="R17" s="98">
        <f t="shared" ca="1" si="4"/>
        <v>574.44000000000005</v>
      </c>
      <c r="S17" s="72">
        <f>+IF($G$5&gt;=B17,IF('Simulador TC XL'!$I$11="NO",0,IF(G17*$G$7&gt;SDMax,SDMax,G17*$G$7)),"")</f>
        <v>0</v>
      </c>
      <c r="T17" s="55">
        <f t="shared" ca="1" si="13"/>
        <v>574.44000000000005</v>
      </c>
      <c r="W17" s="63" t="str">
        <f t="shared" ca="1" si="14"/>
        <v>2026</v>
      </c>
      <c r="X17" s="63" t="str">
        <f t="shared" ca="1" si="15"/>
        <v>05</v>
      </c>
      <c r="Y17" s="63">
        <f t="shared" ca="1" si="16"/>
        <v>5</v>
      </c>
      <c r="Z17" s="112">
        <v>17</v>
      </c>
      <c r="AA17" s="113">
        <v>12</v>
      </c>
      <c r="AB17" s="114">
        <f t="shared" si="5"/>
        <v>17</v>
      </c>
      <c r="AC17" s="52"/>
      <c r="AD17" s="52"/>
      <c r="AE17" s="58"/>
      <c r="AF17" s="52"/>
      <c r="AG17" s="52"/>
    </row>
    <row r="18" spans="2:33" ht="15" customHeight="1" thickBot="1">
      <c r="B18" s="10">
        <v>8</v>
      </c>
      <c r="C18" s="11">
        <f t="shared" ca="1" si="20"/>
        <v>46178</v>
      </c>
      <c r="D18" s="12">
        <f t="shared" ca="1" si="21"/>
        <v>31</v>
      </c>
      <c r="E18" s="12">
        <f t="shared" ca="1" si="22"/>
        <v>269</v>
      </c>
      <c r="F18" s="13">
        <f t="shared" ca="1" si="23"/>
        <v>0.82197573099999999</v>
      </c>
      <c r="G18" s="14">
        <f t="shared" ca="1" si="24"/>
        <v>1648.2899999999995</v>
      </c>
      <c r="H18" s="14">
        <f t="shared" ca="1" si="10"/>
        <v>536.78000000000009</v>
      </c>
      <c r="I18" s="14">
        <f t="shared" ca="1" si="0"/>
        <v>37.659999999999997</v>
      </c>
      <c r="J18" s="14">
        <f t="shared" ca="1" si="1"/>
        <v>574.44000000000005</v>
      </c>
      <c r="K18" s="14">
        <f t="shared" ca="1" si="2"/>
        <v>1111.5099999999993</v>
      </c>
      <c r="L18" s="98"/>
      <c r="M18" s="99">
        <f t="shared" ca="1" si="25"/>
        <v>574.44000000000005</v>
      </c>
      <c r="N18" s="99">
        <f t="shared" ca="1" si="3"/>
        <v>0</v>
      </c>
      <c r="O18" s="100"/>
      <c r="P18" s="73">
        <f ca="1">IF($G$5&gt;=B18,(IF(((SUM($H$11:H18))&lt;=0),1,((SUM($H$11:H18)-(SUM($P$10:P17)))))),"")</f>
        <v>536.7800000000002</v>
      </c>
      <c r="Q18" s="73">
        <f t="shared" ca="1" si="26"/>
        <v>37.659999999999854</v>
      </c>
      <c r="R18" s="98">
        <f t="shared" ca="1" si="4"/>
        <v>574.44000000000005</v>
      </c>
      <c r="S18" s="72">
        <f>+IF($G$5&gt;=B18,IF('Simulador TC XL'!$I$11="NO",0,IF(G18*$G$7&gt;SDMax,SDMax,G18*$G$7)),"")</f>
        <v>0</v>
      </c>
      <c r="T18" s="55">
        <f t="shared" ca="1" si="13"/>
        <v>574.44000000000005</v>
      </c>
      <c r="W18" s="63" t="str">
        <f t="shared" ca="1" si="14"/>
        <v>2026</v>
      </c>
      <c r="X18" s="63" t="str">
        <f t="shared" ca="1" si="15"/>
        <v>06</v>
      </c>
      <c r="Y18" s="63">
        <f t="shared" ca="1" si="16"/>
        <v>5</v>
      </c>
      <c r="Z18" s="112">
        <v>20</v>
      </c>
      <c r="AA18" s="113">
        <v>15</v>
      </c>
      <c r="AB18" s="114">
        <f t="shared" si="5"/>
        <v>20</v>
      </c>
      <c r="AC18" s="52"/>
      <c r="AD18" s="52"/>
      <c r="AE18" s="58"/>
      <c r="AF18" s="52"/>
      <c r="AG18" s="52"/>
    </row>
    <row r="19" spans="2:33" ht="15" customHeight="1" thickBot="1">
      <c r="B19" s="10">
        <v>9</v>
      </c>
      <c r="C19" s="11">
        <f t="shared" ca="1" si="20"/>
        <v>46208</v>
      </c>
      <c r="D19" s="12">
        <f t="shared" ca="1" si="21"/>
        <v>30</v>
      </c>
      <c r="E19" s="12">
        <f t="shared" ca="1" si="22"/>
        <v>299</v>
      </c>
      <c r="F19" s="13">
        <f t="shared" ca="1" si="23"/>
        <v>0.80419934599999998</v>
      </c>
      <c r="G19" s="14">
        <f t="shared" ca="1" si="24"/>
        <v>1111.5099999999993</v>
      </c>
      <c r="H19" s="14">
        <f t="shared" ca="1" si="10"/>
        <v>549.87</v>
      </c>
      <c r="I19" s="14">
        <f t="shared" ca="1" si="0"/>
        <v>24.57</v>
      </c>
      <c r="J19" s="14">
        <f t="shared" ca="1" si="1"/>
        <v>574.44000000000005</v>
      </c>
      <c r="K19" s="14">
        <f t="shared" ca="1" si="2"/>
        <v>561.6399999999993</v>
      </c>
      <c r="L19" s="98"/>
      <c r="M19" s="99">
        <f t="shared" ca="1" si="25"/>
        <v>574.44000000000005</v>
      </c>
      <c r="N19" s="99">
        <f t="shared" ca="1" si="3"/>
        <v>0</v>
      </c>
      <c r="O19" s="100"/>
      <c r="P19" s="73">
        <f ca="1">IF($G$5&gt;=B19,(IF(((SUM($H$11:H19))&lt;=0),1,((SUM($H$11:H19)-(SUM($P$10:P18)))))),"")</f>
        <v>549.86999999999989</v>
      </c>
      <c r="Q19" s="73">
        <f t="shared" ca="1" si="26"/>
        <v>24.570000000000164</v>
      </c>
      <c r="R19" s="98">
        <f t="shared" ca="1" si="4"/>
        <v>574.44000000000005</v>
      </c>
      <c r="S19" s="72">
        <f>+IF($G$5&gt;=B19,IF('Simulador TC XL'!$I$11="NO",0,IF(G19*$G$7&gt;SDMax,SDMax,G19*$G$7)),"")</f>
        <v>0</v>
      </c>
      <c r="T19" s="55">
        <f t="shared" ca="1" si="13"/>
        <v>574.44000000000005</v>
      </c>
      <c r="W19" s="63" t="str">
        <f t="shared" ca="1" si="14"/>
        <v>2026</v>
      </c>
      <c r="X19" s="63" t="str">
        <f t="shared" ca="1" si="15"/>
        <v>07</v>
      </c>
      <c r="Y19" s="63">
        <f t="shared" ca="1" si="16"/>
        <v>5</v>
      </c>
      <c r="Z19" s="112">
        <v>22</v>
      </c>
      <c r="AA19" s="113">
        <v>17</v>
      </c>
      <c r="AB19" s="114">
        <f t="shared" si="5"/>
        <v>22</v>
      </c>
      <c r="AC19" s="52"/>
      <c r="AD19" s="52"/>
      <c r="AE19" s="58"/>
      <c r="AF19" s="52"/>
      <c r="AG19" s="52"/>
    </row>
    <row r="20" spans="2:33" ht="15" customHeight="1" thickBot="1">
      <c r="B20" s="10">
        <v>10</v>
      </c>
      <c r="C20" s="11">
        <f t="shared" ca="1" si="20"/>
        <v>46239</v>
      </c>
      <c r="D20" s="12">
        <f t="shared" ca="1" si="21"/>
        <v>31</v>
      </c>
      <c r="E20" s="12">
        <f t="shared" ca="1" si="22"/>
        <v>330</v>
      </c>
      <c r="F20" s="13">
        <f t="shared" ca="1" si="23"/>
        <v>0.78623419299999997</v>
      </c>
      <c r="G20" s="14">
        <f t="shared" ca="1" si="24"/>
        <v>561.6399999999993</v>
      </c>
      <c r="H20" s="14">
        <f t="shared" ca="1" si="10"/>
        <v>561.6399999999993</v>
      </c>
      <c r="I20" s="14">
        <f t="shared" ca="1" si="0"/>
        <v>12.80000000000075</v>
      </c>
      <c r="J20" s="14">
        <f t="shared" ca="1" si="1"/>
        <v>574.44000000000005</v>
      </c>
      <c r="K20" s="14">
        <f t="shared" ca="1" si="2"/>
        <v>0</v>
      </c>
      <c r="L20" s="98"/>
      <c r="M20" s="99">
        <f t="shared" ca="1" si="25"/>
        <v>574.44000000000005</v>
      </c>
      <c r="N20" s="99">
        <f t="shared" ca="1" si="3"/>
        <v>0</v>
      </c>
      <c r="O20" s="100"/>
      <c r="P20" s="73">
        <f ca="1">IF($G$5&gt;=B20,(IF(((SUM($H$11:H20))&lt;=0),1,((SUM($H$11:H20)-(SUM($P$10:P19)))))),"")</f>
        <v>561.63999999999942</v>
      </c>
      <c r="Q20" s="73">
        <f t="shared" ca="1" si="26"/>
        <v>12.800000000000637</v>
      </c>
      <c r="R20" s="98">
        <f t="shared" ca="1" si="4"/>
        <v>574.44000000000005</v>
      </c>
      <c r="S20" s="72">
        <f>+IF($G$5&gt;=B20,IF('Simulador TC XL'!$I$11="NO",0,IF(G20*$G$7&gt;SDMax,SDMax,G20*$G$7)),"")</f>
        <v>0</v>
      </c>
      <c r="T20" s="55">
        <f t="shared" ca="1" si="13"/>
        <v>574.44000000000005</v>
      </c>
      <c r="W20" s="63" t="str">
        <f t="shared" ca="1" si="14"/>
        <v>2026</v>
      </c>
      <c r="X20" s="63" t="str">
        <f t="shared" ca="1" si="15"/>
        <v>08</v>
      </c>
      <c r="Y20" s="63">
        <f t="shared" ca="1" si="16"/>
        <v>5</v>
      </c>
      <c r="Z20" s="112">
        <v>24</v>
      </c>
      <c r="AA20" s="113">
        <v>19</v>
      </c>
      <c r="AB20" s="114">
        <f t="shared" si="5"/>
        <v>24</v>
      </c>
      <c r="AC20" s="52"/>
      <c r="AD20" s="52"/>
      <c r="AE20" s="58"/>
      <c r="AF20" s="52"/>
      <c r="AG20" s="52"/>
    </row>
    <row r="21" spans="2:33" ht="15" customHeight="1">
      <c r="B21" s="10">
        <v>11</v>
      </c>
      <c r="C21" s="11" t="str">
        <f t="shared" si="20"/>
        <v/>
      </c>
      <c r="D21" s="12" t="str">
        <f t="shared" si="21"/>
        <v>-</v>
      </c>
      <c r="E21" s="12" t="str">
        <f t="shared" si="22"/>
        <v>-</v>
      </c>
      <c r="F21" s="13" t="str">
        <f t="shared" si="23"/>
        <v>-</v>
      </c>
      <c r="G21" s="14" t="str">
        <f t="shared" si="24"/>
        <v/>
      </c>
      <c r="H21" s="14" t="str">
        <f t="shared" si="10"/>
        <v>-</v>
      </c>
      <c r="I21" s="14" t="str">
        <f t="shared" si="0"/>
        <v>-</v>
      </c>
      <c r="J21" s="14" t="str">
        <f t="shared" si="1"/>
        <v>-</v>
      </c>
      <c r="K21" s="14" t="str">
        <f t="shared" si="2"/>
        <v>-</v>
      </c>
      <c r="L21" s="98"/>
      <c r="M21" s="99" t="str">
        <f t="shared" si="25"/>
        <v/>
      </c>
      <c r="N21" s="99" t="str">
        <f t="shared" si="3"/>
        <v>-</v>
      </c>
      <c r="O21" s="100"/>
      <c r="P21" s="73" t="str">
        <f>IF($G$5&gt;=B21,(IF(((SUM($H$11:H21))&lt;=0),1,((SUM($H$11:H21)-(SUM($P$10:P20)))))),"")</f>
        <v/>
      </c>
      <c r="Q21" s="73" t="str">
        <f t="shared" si="26"/>
        <v/>
      </c>
      <c r="R21" s="98" t="str">
        <f t="shared" si="4"/>
        <v/>
      </c>
      <c r="S21" s="72" t="str">
        <f>+IF($G$5&gt;=B21,IF('Simulador TC XL'!$I$11="NO",0,IF(G21*$G$7&gt;SDMax,SDMax,G21*$G$7)),"")</f>
        <v/>
      </c>
      <c r="T21" s="55" t="str">
        <f t="shared" si="13"/>
        <v/>
      </c>
      <c r="W21" s="63" t="str">
        <f t="shared" ca="1" si="14"/>
        <v>2026</v>
      </c>
      <c r="X21" s="63" t="str">
        <f t="shared" ca="1" si="15"/>
        <v>09</v>
      </c>
      <c r="Y21" s="63">
        <f t="shared" ca="1" si="16"/>
        <v>5</v>
      </c>
      <c r="Z21" s="115">
        <v>26</v>
      </c>
      <c r="AA21" s="116">
        <v>21</v>
      </c>
      <c r="AB21" s="117">
        <f t="shared" si="5"/>
        <v>26</v>
      </c>
      <c r="AC21" s="52"/>
      <c r="AD21" s="52"/>
      <c r="AE21" s="58"/>
      <c r="AF21" s="52"/>
      <c r="AG21" s="52"/>
    </row>
    <row r="22" spans="2:33" ht="15" customHeight="1">
      <c r="B22" s="10">
        <v>12</v>
      </c>
      <c r="C22" s="11" t="str">
        <f t="shared" si="20"/>
        <v/>
      </c>
      <c r="D22" s="12" t="str">
        <f t="shared" si="21"/>
        <v>-</v>
      </c>
      <c r="E22" s="12" t="str">
        <f t="shared" si="22"/>
        <v>-</v>
      </c>
      <c r="F22" s="13" t="str">
        <f t="shared" si="23"/>
        <v>-</v>
      </c>
      <c r="G22" s="14" t="str">
        <f t="shared" si="24"/>
        <v/>
      </c>
      <c r="H22" s="14" t="str">
        <f t="shared" si="10"/>
        <v>-</v>
      </c>
      <c r="I22" s="14" t="str">
        <f t="shared" si="0"/>
        <v>-</v>
      </c>
      <c r="J22" s="14" t="str">
        <f t="shared" si="1"/>
        <v>-</v>
      </c>
      <c r="K22" s="14" t="str">
        <f t="shared" si="2"/>
        <v>-</v>
      </c>
      <c r="L22" s="98"/>
      <c r="M22" s="99" t="str">
        <f t="shared" si="25"/>
        <v/>
      </c>
      <c r="N22" s="99" t="str">
        <f t="shared" si="3"/>
        <v>-</v>
      </c>
      <c r="O22" s="100"/>
      <c r="P22" s="73" t="str">
        <f>IF($G$5&gt;=B22,(IF(((SUM($H$11:H22))&lt;=0),1,((SUM($H$11:H22)-(SUM($P$10:P21)))))),"")</f>
        <v/>
      </c>
      <c r="Q22" s="73" t="str">
        <f t="shared" si="26"/>
        <v/>
      </c>
      <c r="R22" s="98" t="str">
        <f t="shared" si="4"/>
        <v/>
      </c>
      <c r="S22" s="72" t="str">
        <f>+IF($G$5&gt;=B22,IF('Simulador TC XL'!$I$11="NO",0,IF(G22*$G$7&gt;SDMax,SDMax,G22*$G$7)),"")</f>
        <v/>
      </c>
      <c r="T22" s="55" t="str">
        <f t="shared" si="13"/>
        <v/>
      </c>
      <c r="W22" s="63" t="str">
        <f t="shared" ca="1" si="14"/>
        <v>2026</v>
      </c>
      <c r="X22" s="63" t="str">
        <f t="shared" ca="1" si="15"/>
        <v>10</v>
      </c>
      <c r="Y22" s="63">
        <f t="shared" ca="1" si="16"/>
        <v>5</v>
      </c>
      <c r="AB22" s="52"/>
      <c r="AC22" s="52"/>
      <c r="AD22" s="52"/>
      <c r="AE22" s="58"/>
      <c r="AF22" s="52"/>
      <c r="AG22" s="52"/>
    </row>
    <row r="23" spans="2:33" ht="15" customHeight="1">
      <c r="B23" s="10">
        <v>13</v>
      </c>
      <c r="C23" s="11" t="str">
        <f t="shared" si="20"/>
        <v/>
      </c>
      <c r="D23" s="12" t="str">
        <f t="shared" si="21"/>
        <v>-</v>
      </c>
      <c r="E23" s="12" t="str">
        <f t="shared" si="22"/>
        <v>-</v>
      </c>
      <c r="F23" s="13" t="str">
        <f t="shared" si="23"/>
        <v>-</v>
      </c>
      <c r="G23" s="14" t="str">
        <f t="shared" si="24"/>
        <v/>
      </c>
      <c r="H23" s="14" t="str">
        <f t="shared" si="10"/>
        <v>-</v>
      </c>
      <c r="I23" s="14" t="str">
        <f t="shared" si="0"/>
        <v>-</v>
      </c>
      <c r="J23" s="14" t="str">
        <f t="shared" si="1"/>
        <v>-</v>
      </c>
      <c r="K23" s="14" t="str">
        <f t="shared" si="2"/>
        <v>-</v>
      </c>
      <c r="L23" s="98"/>
      <c r="M23" s="99" t="str">
        <f t="shared" si="25"/>
        <v/>
      </c>
      <c r="N23" s="99" t="str">
        <f t="shared" si="3"/>
        <v>-</v>
      </c>
      <c r="O23" s="100"/>
      <c r="P23" s="73" t="str">
        <f>IF($G$5&gt;=B23,(IF(((SUM($H$11:H23))&lt;=0),1,((SUM($H$11:H23)-(SUM($P$10:P22)))))),"")</f>
        <v/>
      </c>
      <c r="Q23" s="73" t="str">
        <f t="shared" si="26"/>
        <v/>
      </c>
      <c r="R23" s="98" t="str">
        <f t="shared" si="4"/>
        <v/>
      </c>
      <c r="S23" s="72" t="str">
        <f>+IF($G$5&gt;=B23,IF('Simulador TC XL'!$I$11="NO",0,IF(G23*$G$7&gt;SDMax,SDMax,G23*$G$7)),"")</f>
        <v/>
      </c>
      <c r="T23" s="55" t="str">
        <f t="shared" si="13"/>
        <v/>
      </c>
      <c r="W23" s="63" t="str">
        <f t="shared" ca="1" si="14"/>
        <v>2026</v>
      </c>
      <c r="X23" s="63" t="str">
        <f t="shared" ca="1" si="15"/>
        <v>11</v>
      </c>
      <c r="Y23" s="63">
        <f t="shared" ca="1" si="16"/>
        <v>5</v>
      </c>
    </row>
    <row r="24" spans="2:33" ht="15" customHeight="1">
      <c r="B24" s="10">
        <v>14</v>
      </c>
      <c r="C24" s="11" t="str">
        <f t="shared" si="20"/>
        <v/>
      </c>
      <c r="D24" s="12" t="str">
        <f t="shared" si="21"/>
        <v>-</v>
      </c>
      <c r="E24" s="12" t="str">
        <f t="shared" si="22"/>
        <v>-</v>
      </c>
      <c r="F24" s="13" t="str">
        <f t="shared" si="23"/>
        <v>-</v>
      </c>
      <c r="G24" s="14" t="str">
        <f t="shared" si="24"/>
        <v/>
      </c>
      <c r="H24" s="14" t="str">
        <f t="shared" si="10"/>
        <v>-</v>
      </c>
      <c r="I24" s="14" t="str">
        <f t="shared" si="0"/>
        <v>-</v>
      </c>
      <c r="J24" s="14" t="str">
        <f t="shared" si="1"/>
        <v>-</v>
      </c>
      <c r="K24" s="14" t="str">
        <f t="shared" si="2"/>
        <v>-</v>
      </c>
      <c r="L24" s="98"/>
      <c r="M24" s="99" t="str">
        <f t="shared" si="25"/>
        <v/>
      </c>
      <c r="N24" s="99" t="str">
        <f t="shared" si="3"/>
        <v>-</v>
      </c>
      <c r="O24" s="100"/>
      <c r="P24" s="73" t="str">
        <f>IF($G$5&gt;=B24,(IF(((SUM($H$11:H24))&lt;=0),1,((SUM($H$11:H24)-(SUM($P$10:P23)))))),"")</f>
        <v/>
      </c>
      <c r="Q24" s="73" t="str">
        <f t="shared" si="26"/>
        <v/>
      </c>
      <c r="R24" s="98" t="str">
        <f t="shared" si="4"/>
        <v/>
      </c>
      <c r="S24" s="72" t="str">
        <f>+IF($G$5&gt;=B24,IF('Simulador TC XL'!$I$11="NO",0,IF(G24*$G$7&gt;SDMax,SDMax,G24*$G$7)),"")</f>
        <v/>
      </c>
      <c r="T24" s="55" t="str">
        <f t="shared" si="13"/>
        <v/>
      </c>
      <c r="W24" s="63" t="str">
        <f t="shared" ca="1" si="14"/>
        <v>2026</v>
      </c>
      <c r="X24" s="63" t="str">
        <f t="shared" ca="1" si="15"/>
        <v>12</v>
      </c>
      <c r="Y24" s="63">
        <f t="shared" ca="1" si="16"/>
        <v>5</v>
      </c>
    </row>
    <row r="25" spans="2:33" ht="15" customHeight="1" thickBot="1">
      <c r="B25" s="10">
        <v>15</v>
      </c>
      <c r="C25" s="11" t="str">
        <f t="shared" si="20"/>
        <v/>
      </c>
      <c r="D25" s="12" t="str">
        <f t="shared" si="21"/>
        <v>-</v>
      </c>
      <c r="E25" s="12" t="str">
        <f t="shared" si="22"/>
        <v>-</v>
      </c>
      <c r="F25" s="13" t="str">
        <f t="shared" si="23"/>
        <v>-</v>
      </c>
      <c r="G25" s="14" t="str">
        <f t="shared" si="24"/>
        <v/>
      </c>
      <c r="H25" s="14" t="str">
        <f t="shared" si="10"/>
        <v>-</v>
      </c>
      <c r="I25" s="14" t="str">
        <f t="shared" si="0"/>
        <v>-</v>
      </c>
      <c r="J25" s="14" t="str">
        <f t="shared" si="1"/>
        <v>-</v>
      </c>
      <c r="K25" s="14" t="str">
        <f t="shared" si="2"/>
        <v>-</v>
      </c>
      <c r="L25" s="98"/>
      <c r="M25" s="99" t="str">
        <f t="shared" si="25"/>
        <v/>
      </c>
      <c r="N25" s="99" t="str">
        <f t="shared" si="3"/>
        <v>-</v>
      </c>
      <c r="O25" s="100"/>
      <c r="P25" s="73" t="str">
        <f>IF($G$5&gt;=B25,(IF(((SUM($H$11:H25))&lt;=0),1,((SUM($H$11:H25)-(SUM($P$10:P24)))))),"")</f>
        <v/>
      </c>
      <c r="Q25" s="73" t="str">
        <f t="shared" si="26"/>
        <v/>
      </c>
      <c r="R25" s="98" t="str">
        <f t="shared" si="4"/>
        <v/>
      </c>
      <c r="S25" s="72" t="str">
        <f>+IF($G$5&gt;=B25,IF('Simulador TC XL'!$I$11="NO",0,IF(G25*$G$7&gt;SDMax,SDMax,G25*$G$7)),"")</f>
        <v/>
      </c>
      <c r="T25" s="55" t="str">
        <f t="shared" si="13"/>
        <v/>
      </c>
      <c r="W25" s="63" t="str">
        <f t="shared" ca="1" si="14"/>
        <v>2027</v>
      </c>
      <c r="X25" s="63" t="str">
        <f t="shared" ca="1" si="15"/>
        <v>01</v>
      </c>
      <c r="Y25" s="63">
        <f t="shared" ca="1" si="16"/>
        <v>5</v>
      </c>
    </row>
    <row r="26" spans="2:33" ht="15" customHeight="1" thickBot="1">
      <c r="B26" s="10">
        <v>16</v>
      </c>
      <c r="C26" s="11" t="str">
        <f t="shared" si="20"/>
        <v/>
      </c>
      <c r="D26" s="12" t="str">
        <f t="shared" si="21"/>
        <v>-</v>
      </c>
      <c r="E26" s="12" t="str">
        <f t="shared" si="22"/>
        <v>-</v>
      </c>
      <c r="F26" s="13" t="str">
        <f t="shared" si="23"/>
        <v>-</v>
      </c>
      <c r="G26" s="14" t="str">
        <f t="shared" si="24"/>
        <v/>
      </c>
      <c r="H26" s="14" t="str">
        <f t="shared" si="10"/>
        <v>-</v>
      </c>
      <c r="I26" s="14" t="str">
        <f t="shared" si="0"/>
        <v>-</v>
      </c>
      <c r="J26" s="14" t="str">
        <f t="shared" si="1"/>
        <v>-</v>
      </c>
      <c r="K26" s="14" t="str">
        <f t="shared" si="2"/>
        <v>-</v>
      </c>
      <c r="L26" s="98"/>
      <c r="M26" s="99" t="str">
        <f t="shared" si="25"/>
        <v/>
      </c>
      <c r="N26" s="99" t="str">
        <f t="shared" si="3"/>
        <v>-</v>
      </c>
      <c r="O26" s="100"/>
      <c r="P26" s="73" t="str">
        <f>IF($G$5&gt;=B26,(IF(((SUM($H$11:H26))&lt;=0),1,((SUM($H$11:H26)-(SUM($P$10:P25)))))),"")</f>
        <v/>
      </c>
      <c r="Q26" s="73" t="str">
        <f t="shared" si="26"/>
        <v/>
      </c>
      <c r="R26" s="98" t="str">
        <f t="shared" si="4"/>
        <v/>
      </c>
      <c r="S26" s="72" t="str">
        <f>+IF($G$5&gt;=B26,IF('Simulador TC XL'!$I$11="NO",0,IF(G26*$G$7&gt;SDMax,SDMax,G26*$G$7)),"")</f>
        <v/>
      </c>
      <c r="T26" s="55" t="str">
        <f t="shared" si="13"/>
        <v/>
      </c>
      <c r="W26" s="63" t="str">
        <f t="shared" ca="1" si="14"/>
        <v>2027</v>
      </c>
      <c r="X26" s="63" t="str">
        <f t="shared" ca="1" si="15"/>
        <v>02</v>
      </c>
      <c r="Y26" s="63">
        <f t="shared" ca="1" si="16"/>
        <v>5</v>
      </c>
      <c r="AA26" s="119">
        <v>1</v>
      </c>
      <c r="AC26" s="119" t="s">
        <v>56</v>
      </c>
      <c r="AD26" s="163">
        <v>0.21</v>
      </c>
      <c r="AE26" s="163">
        <v>0.8</v>
      </c>
    </row>
    <row r="27" spans="2:33" ht="15" customHeight="1" thickBot="1">
      <c r="B27" s="10">
        <v>17</v>
      </c>
      <c r="C27" s="11" t="str">
        <f t="shared" si="20"/>
        <v/>
      </c>
      <c r="D27" s="12" t="str">
        <f t="shared" si="21"/>
        <v>-</v>
      </c>
      <c r="E27" s="12" t="str">
        <f t="shared" si="22"/>
        <v>-</v>
      </c>
      <c r="F27" s="13" t="str">
        <f t="shared" si="23"/>
        <v>-</v>
      </c>
      <c r="G27" s="14" t="str">
        <f t="shared" si="24"/>
        <v/>
      </c>
      <c r="H27" s="14" t="str">
        <f t="shared" si="10"/>
        <v>-</v>
      </c>
      <c r="I27" s="14" t="str">
        <f t="shared" si="0"/>
        <v>-</v>
      </c>
      <c r="J27" s="14" t="str">
        <f t="shared" si="1"/>
        <v>-</v>
      </c>
      <c r="K27" s="14" t="str">
        <f t="shared" si="2"/>
        <v>-</v>
      </c>
      <c r="L27" s="98"/>
      <c r="M27" s="99" t="str">
        <f t="shared" si="25"/>
        <v/>
      </c>
      <c r="N27" s="99" t="str">
        <f t="shared" si="3"/>
        <v>-</v>
      </c>
      <c r="O27" s="100"/>
      <c r="P27" s="73" t="str">
        <f>IF($G$5&gt;=B27,(IF(((SUM($H$11:H27))&lt;=0),1,((SUM($H$11:H27)-(SUM($P$10:P26)))))),"")</f>
        <v/>
      </c>
      <c r="Q27" s="73" t="str">
        <f t="shared" si="26"/>
        <v/>
      </c>
      <c r="R27" s="98" t="str">
        <f t="shared" si="4"/>
        <v/>
      </c>
      <c r="S27" s="72" t="str">
        <f>+IF($G$5&gt;=B27,IF('Simulador TC XL'!$I$11="NO",0,IF(G27*$G$7&gt;SDMax,SDMax,G27*$G$7)),"")</f>
        <v/>
      </c>
      <c r="T27" s="55" t="str">
        <f t="shared" si="13"/>
        <v/>
      </c>
      <c r="W27" s="63" t="str">
        <f t="shared" ca="1" si="14"/>
        <v>2027</v>
      </c>
      <c r="X27" s="63" t="str">
        <f t="shared" ca="1" si="15"/>
        <v>03</v>
      </c>
      <c r="Y27" s="63">
        <f t="shared" ca="1" si="16"/>
        <v>5</v>
      </c>
      <c r="AA27" s="119">
        <v>5</v>
      </c>
      <c r="AC27" s="119" t="s">
        <v>57</v>
      </c>
      <c r="AD27" s="163">
        <v>0.1249</v>
      </c>
      <c r="AE27" s="163">
        <v>0.26740000000000003</v>
      </c>
    </row>
    <row r="28" spans="2:33" ht="15" customHeight="1" thickBot="1">
      <c r="B28" s="10">
        <v>18</v>
      </c>
      <c r="C28" s="11" t="str">
        <f t="shared" si="20"/>
        <v/>
      </c>
      <c r="D28" s="12" t="str">
        <f t="shared" si="21"/>
        <v>-</v>
      </c>
      <c r="E28" s="12" t="str">
        <f t="shared" si="22"/>
        <v>-</v>
      </c>
      <c r="F28" s="13" t="str">
        <f t="shared" si="23"/>
        <v>-</v>
      </c>
      <c r="G28" s="14" t="str">
        <f t="shared" si="24"/>
        <v/>
      </c>
      <c r="H28" s="14" t="str">
        <f t="shared" si="10"/>
        <v>-</v>
      </c>
      <c r="I28" s="14" t="str">
        <f t="shared" si="0"/>
        <v>-</v>
      </c>
      <c r="J28" s="14" t="str">
        <f t="shared" si="1"/>
        <v>-</v>
      </c>
      <c r="K28" s="14" t="str">
        <f t="shared" si="2"/>
        <v>-</v>
      </c>
      <c r="L28" s="98"/>
      <c r="M28" s="99" t="str">
        <f t="shared" si="25"/>
        <v/>
      </c>
      <c r="N28" s="99" t="str">
        <f t="shared" si="3"/>
        <v>-</v>
      </c>
      <c r="O28" s="100"/>
      <c r="P28" s="73" t="str">
        <f>IF($G$5&gt;=B28,(IF(((SUM($H$11:H28))&lt;=0),1,((SUM($H$11:H28)-(SUM($P$10:P27)))))),"")</f>
        <v/>
      </c>
      <c r="Q28" s="73" t="str">
        <f t="shared" si="26"/>
        <v/>
      </c>
      <c r="R28" s="98" t="str">
        <f t="shared" si="4"/>
        <v/>
      </c>
      <c r="S28" s="72" t="str">
        <f>+IF($G$5&gt;=B28,IF('Simulador TC XL'!$I$11="NO",0,IF(G28*$G$7&gt;SDMax,SDMax,G28*$G$7)),"")</f>
        <v/>
      </c>
      <c r="T28" s="55" t="str">
        <f t="shared" si="13"/>
        <v/>
      </c>
      <c r="W28" s="63" t="str">
        <f t="shared" ca="1" si="14"/>
        <v>2027</v>
      </c>
      <c r="X28" s="63" t="str">
        <f t="shared" ca="1" si="15"/>
        <v>04</v>
      </c>
      <c r="Y28" s="63">
        <f t="shared" ca="1" si="16"/>
        <v>5</v>
      </c>
      <c r="AA28" s="118">
        <v>17</v>
      </c>
    </row>
    <row r="29" spans="2:33" ht="15" customHeight="1">
      <c r="B29" s="10">
        <v>19</v>
      </c>
      <c r="C29" s="11" t="str">
        <f t="shared" si="20"/>
        <v/>
      </c>
      <c r="D29" s="12" t="str">
        <f t="shared" si="21"/>
        <v>-</v>
      </c>
      <c r="E29" s="12" t="str">
        <f t="shared" si="22"/>
        <v>-</v>
      </c>
      <c r="F29" s="13" t="str">
        <f t="shared" si="23"/>
        <v>-</v>
      </c>
      <c r="G29" s="14" t="str">
        <f t="shared" si="24"/>
        <v/>
      </c>
      <c r="H29" s="14" t="str">
        <f t="shared" si="10"/>
        <v>-</v>
      </c>
      <c r="I29" s="14" t="str">
        <f t="shared" si="0"/>
        <v>-</v>
      </c>
      <c r="J29" s="14" t="str">
        <f t="shared" si="1"/>
        <v>-</v>
      </c>
      <c r="K29" s="14" t="str">
        <f t="shared" si="2"/>
        <v>-</v>
      </c>
      <c r="L29" s="98"/>
      <c r="M29" s="99" t="str">
        <f t="shared" si="25"/>
        <v/>
      </c>
      <c r="N29" s="99" t="str">
        <f t="shared" si="3"/>
        <v>-</v>
      </c>
      <c r="O29" s="100"/>
      <c r="P29" s="73" t="str">
        <f>IF($G$5&gt;=B29,(IF(((SUM($H$11:H29))&lt;=0),1,((SUM($H$11:H29)-(SUM($P$10:P28)))))),"")</f>
        <v/>
      </c>
      <c r="Q29" s="73" t="str">
        <f t="shared" si="26"/>
        <v/>
      </c>
      <c r="R29" s="98" t="str">
        <f t="shared" si="4"/>
        <v/>
      </c>
      <c r="S29" s="72" t="str">
        <f>+IF($G$5&gt;=B29,IF('Simulador TC XL'!$I$11="NO",0,IF(G29*$G$7&gt;SDMax,SDMax,G29*$G$7)),"")</f>
        <v/>
      </c>
      <c r="T29" s="55" t="str">
        <f t="shared" si="13"/>
        <v/>
      </c>
      <c r="W29" s="63" t="str">
        <f t="shared" ca="1" si="14"/>
        <v>2027</v>
      </c>
      <c r="X29" s="63" t="str">
        <f t="shared" ca="1" si="15"/>
        <v>05</v>
      </c>
      <c r="Y29" s="63">
        <f t="shared" ca="1" si="16"/>
        <v>5</v>
      </c>
    </row>
    <row r="30" spans="2:33" ht="15" customHeight="1">
      <c r="B30" s="10">
        <v>20</v>
      </c>
      <c r="C30" s="11" t="str">
        <f t="shared" si="20"/>
        <v/>
      </c>
      <c r="D30" s="12" t="str">
        <f t="shared" si="21"/>
        <v>-</v>
      </c>
      <c r="E30" s="12" t="str">
        <f t="shared" si="22"/>
        <v>-</v>
      </c>
      <c r="F30" s="13" t="str">
        <f t="shared" si="23"/>
        <v>-</v>
      </c>
      <c r="G30" s="14" t="str">
        <f t="shared" si="24"/>
        <v/>
      </c>
      <c r="H30" s="14" t="str">
        <f t="shared" si="10"/>
        <v>-</v>
      </c>
      <c r="I30" s="14" t="str">
        <f t="shared" si="0"/>
        <v>-</v>
      </c>
      <c r="J30" s="14" t="str">
        <f t="shared" si="1"/>
        <v>-</v>
      </c>
      <c r="K30" s="14" t="str">
        <f t="shared" si="2"/>
        <v>-</v>
      </c>
      <c r="L30" s="98"/>
      <c r="M30" s="99" t="str">
        <f t="shared" si="25"/>
        <v/>
      </c>
      <c r="N30" s="99" t="str">
        <f t="shared" si="3"/>
        <v>-</v>
      </c>
      <c r="O30" s="100"/>
      <c r="P30" s="73" t="str">
        <f>IF($G$5&gt;=B30,(IF(((SUM($H$11:H30))&lt;=0),1,((SUM($H$11:H30)-(SUM($P$10:P29)))))),"")</f>
        <v/>
      </c>
      <c r="Q30" s="73" t="str">
        <f t="shared" si="26"/>
        <v/>
      </c>
      <c r="R30" s="98" t="str">
        <f t="shared" si="4"/>
        <v/>
      </c>
      <c r="S30" s="72" t="str">
        <f>+IF($G$5&gt;=B30,IF('Simulador TC XL'!$I$11="NO",0,IF(G30*$G$7&gt;SDMax,SDMax,G30*$G$7)),"")</f>
        <v/>
      </c>
      <c r="T30" s="55" t="str">
        <f t="shared" si="13"/>
        <v/>
      </c>
      <c r="W30" s="63" t="str">
        <f t="shared" ca="1" si="14"/>
        <v>2027</v>
      </c>
      <c r="X30" s="63" t="str">
        <f t="shared" ca="1" si="15"/>
        <v>06</v>
      </c>
      <c r="Y30" s="63">
        <f t="shared" ca="1" si="16"/>
        <v>5</v>
      </c>
      <c r="AC30" s="44" t="s">
        <v>59</v>
      </c>
    </row>
    <row r="31" spans="2:33" ht="15" customHeight="1">
      <c r="B31" s="10">
        <v>21</v>
      </c>
      <c r="C31" s="11" t="str">
        <f t="shared" si="20"/>
        <v/>
      </c>
      <c r="D31" s="12" t="str">
        <f t="shared" si="21"/>
        <v>-</v>
      </c>
      <c r="E31" s="12" t="str">
        <f t="shared" si="22"/>
        <v>-</v>
      </c>
      <c r="F31" s="13" t="str">
        <f t="shared" si="23"/>
        <v>-</v>
      </c>
      <c r="G31" s="14" t="str">
        <f t="shared" si="24"/>
        <v/>
      </c>
      <c r="H31" s="14" t="str">
        <f t="shared" si="10"/>
        <v>-</v>
      </c>
      <c r="I31" s="14" t="str">
        <f t="shared" si="0"/>
        <v>-</v>
      </c>
      <c r="J31" s="14" t="str">
        <f t="shared" si="1"/>
        <v>-</v>
      </c>
      <c r="K31" s="14" t="str">
        <f t="shared" si="2"/>
        <v>-</v>
      </c>
      <c r="L31" s="98"/>
      <c r="M31" s="99" t="str">
        <f t="shared" si="25"/>
        <v/>
      </c>
      <c r="N31" s="99" t="str">
        <f t="shared" si="3"/>
        <v>-</v>
      </c>
      <c r="O31" s="100"/>
      <c r="P31" s="73" t="str">
        <f>IF($G$5&gt;=B31,(IF(((SUM($H$11:H31))&lt;=0),1,((SUM($H$11:H31)-(SUM($P$10:P30)))))),"")</f>
        <v/>
      </c>
      <c r="Q31" s="73" t="str">
        <f t="shared" si="26"/>
        <v/>
      </c>
      <c r="R31" s="98" t="str">
        <f t="shared" si="4"/>
        <v/>
      </c>
      <c r="S31" s="72" t="str">
        <f>+IF($G$5&gt;=B31,IF('Simulador TC XL'!$I$11="NO",0,IF(G31*$G$7&gt;SDMax,SDMax,G31*$G$7)),"")</f>
        <v/>
      </c>
      <c r="T31" s="55" t="str">
        <f t="shared" si="13"/>
        <v/>
      </c>
      <c r="W31" s="63" t="str">
        <f t="shared" ca="1" si="14"/>
        <v>2027</v>
      </c>
      <c r="X31" s="63" t="str">
        <f t="shared" ca="1" si="15"/>
        <v>07</v>
      </c>
      <c r="Y31" s="63">
        <f t="shared" ca="1" si="16"/>
        <v>5</v>
      </c>
      <c r="AB31" s="59"/>
      <c r="AC31" s="59" t="s">
        <v>60</v>
      </c>
      <c r="AD31" s="59"/>
      <c r="AE31" s="59"/>
    </row>
    <row r="32" spans="2:33" ht="15" customHeight="1">
      <c r="B32" s="10">
        <v>22</v>
      </c>
      <c r="C32" s="11" t="str">
        <f t="shared" si="20"/>
        <v/>
      </c>
      <c r="D32" s="12" t="str">
        <f t="shared" si="21"/>
        <v>-</v>
      </c>
      <c r="E32" s="12" t="str">
        <f t="shared" si="22"/>
        <v>-</v>
      </c>
      <c r="F32" s="13" t="str">
        <f t="shared" si="23"/>
        <v>-</v>
      </c>
      <c r="G32" s="14" t="str">
        <f t="shared" si="24"/>
        <v/>
      </c>
      <c r="H32" s="14" t="str">
        <f t="shared" si="10"/>
        <v>-</v>
      </c>
      <c r="I32" s="14" t="str">
        <f t="shared" si="0"/>
        <v>-</v>
      </c>
      <c r="J32" s="14" t="str">
        <f t="shared" si="1"/>
        <v>-</v>
      </c>
      <c r="K32" s="14" t="str">
        <f t="shared" si="2"/>
        <v>-</v>
      </c>
      <c r="L32" s="98"/>
      <c r="M32" s="99" t="str">
        <f t="shared" si="25"/>
        <v/>
      </c>
      <c r="N32" s="99" t="str">
        <f t="shared" si="3"/>
        <v>-</v>
      </c>
      <c r="O32" s="100"/>
      <c r="P32" s="73" t="str">
        <f>IF($G$5&gt;=B32,(IF(((SUM($H$11:H32))&lt;=0),1,((SUM($H$11:H32)-(SUM($P$10:P31)))))),"")</f>
        <v/>
      </c>
      <c r="Q32" s="73" t="str">
        <f t="shared" si="26"/>
        <v/>
      </c>
      <c r="R32" s="98" t="str">
        <f t="shared" si="4"/>
        <v/>
      </c>
      <c r="S32" s="72" t="str">
        <f>+IF($G$5&gt;=B32,IF('Simulador TC XL'!$I$11="NO",0,IF(G32*$G$7&gt;SDMax,SDMax,G32*$G$7)),"")</f>
        <v/>
      </c>
      <c r="T32" s="55" t="str">
        <f t="shared" si="13"/>
        <v/>
      </c>
      <c r="U32" s="56"/>
      <c r="W32" s="63" t="str">
        <f t="shared" ca="1" si="14"/>
        <v>2027</v>
      </c>
      <c r="X32" s="63" t="str">
        <f t="shared" ca="1" si="15"/>
        <v>08</v>
      </c>
      <c r="Y32" s="63">
        <f t="shared" ca="1" si="16"/>
        <v>5</v>
      </c>
      <c r="Z32" s="59"/>
    </row>
    <row r="33" spans="2:25" ht="15" customHeight="1">
      <c r="B33" s="10">
        <v>23</v>
      </c>
      <c r="C33" s="11" t="str">
        <f t="shared" si="20"/>
        <v/>
      </c>
      <c r="D33" s="12" t="str">
        <f t="shared" si="21"/>
        <v>-</v>
      </c>
      <c r="E33" s="12" t="str">
        <f t="shared" si="22"/>
        <v>-</v>
      </c>
      <c r="F33" s="13" t="str">
        <f t="shared" si="23"/>
        <v>-</v>
      </c>
      <c r="G33" s="14" t="str">
        <f t="shared" si="24"/>
        <v/>
      </c>
      <c r="H33" s="14" t="str">
        <f t="shared" si="10"/>
        <v>-</v>
      </c>
      <c r="I33" s="14" t="str">
        <f t="shared" si="0"/>
        <v>-</v>
      </c>
      <c r="J33" s="14" t="str">
        <f t="shared" si="1"/>
        <v>-</v>
      </c>
      <c r="K33" s="14" t="str">
        <f t="shared" si="2"/>
        <v>-</v>
      </c>
      <c r="L33" s="98"/>
      <c r="M33" s="99" t="str">
        <f t="shared" si="25"/>
        <v/>
      </c>
      <c r="N33" s="99" t="str">
        <f t="shared" si="3"/>
        <v>-</v>
      </c>
      <c r="O33" s="100"/>
      <c r="P33" s="73" t="str">
        <f>IF($G$5&gt;=B33,(IF(((SUM($H$11:H33))&lt;=0),1,((SUM($H$11:H33)-(SUM($P$10:P32)))))),"")</f>
        <v/>
      </c>
      <c r="Q33" s="73" t="str">
        <f t="shared" si="26"/>
        <v/>
      </c>
      <c r="R33" s="98" t="str">
        <f t="shared" si="4"/>
        <v/>
      </c>
      <c r="S33" s="72" t="str">
        <f>+IF($G$5&gt;=B33,IF('Simulador TC XL'!$I$11="NO",0,IF(G33*$G$7&gt;SDMax,SDMax,G33*$G$7)),"")</f>
        <v/>
      </c>
      <c r="T33" s="55" t="str">
        <f t="shared" si="13"/>
        <v/>
      </c>
      <c r="U33" s="56"/>
      <c r="W33" s="63" t="str">
        <f t="shared" ca="1" si="14"/>
        <v>2027</v>
      </c>
      <c r="X33" s="63" t="str">
        <f t="shared" ca="1" si="15"/>
        <v>09</v>
      </c>
      <c r="Y33" s="63">
        <f t="shared" ca="1" si="16"/>
        <v>5</v>
      </c>
    </row>
    <row r="34" spans="2:25" ht="15" customHeight="1">
      <c r="B34" s="10">
        <v>24</v>
      </c>
      <c r="C34" s="11" t="str">
        <f t="shared" si="20"/>
        <v/>
      </c>
      <c r="D34" s="12" t="str">
        <f t="shared" si="21"/>
        <v>-</v>
      </c>
      <c r="E34" s="12" t="str">
        <f t="shared" si="22"/>
        <v>-</v>
      </c>
      <c r="F34" s="13" t="str">
        <f t="shared" si="23"/>
        <v>-</v>
      </c>
      <c r="G34" s="14" t="str">
        <f t="shared" si="24"/>
        <v/>
      </c>
      <c r="H34" s="14" t="str">
        <f t="shared" si="10"/>
        <v>-</v>
      </c>
      <c r="I34" s="14" t="str">
        <f t="shared" si="0"/>
        <v>-</v>
      </c>
      <c r="J34" s="14" t="str">
        <f t="shared" si="1"/>
        <v>-</v>
      </c>
      <c r="K34" s="14" t="str">
        <f t="shared" si="2"/>
        <v>-</v>
      </c>
      <c r="L34" s="98"/>
      <c r="M34" s="99" t="str">
        <f t="shared" si="25"/>
        <v/>
      </c>
      <c r="N34" s="99" t="str">
        <f t="shared" si="3"/>
        <v>-</v>
      </c>
      <c r="O34" s="100"/>
      <c r="P34" s="73" t="str">
        <f>IF($G$5&gt;=B34,(IF(((SUM($H$11:H34))&lt;=0),1,((SUM($H$11:H34)-(SUM($P$10:P33)))))),"")</f>
        <v/>
      </c>
      <c r="Q34" s="73" t="str">
        <f t="shared" si="26"/>
        <v/>
      </c>
      <c r="R34" s="98" t="str">
        <f t="shared" si="4"/>
        <v/>
      </c>
      <c r="S34" s="72" t="str">
        <f>+IF($G$5&gt;=B34,IF('Simulador TC XL'!$I$11="NO",0,IF(G34*$G$7&gt;SDMax,SDMax,G34*$G$7)),"")</f>
        <v/>
      </c>
      <c r="T34" s="55" t="str">
        <f t="shared" si="13"/>
        <v/>
      </c>
      <c r="U34" s="56"/>
      <c r="W34" s="63" t="str">
        <f t="shared" ca="1" si="14"/>
        <v>2027</v>
      </c>
      <c r="X34" s="63" t="str">
        <f t="shared" ca="1" si="15"/>
        <v>10</v>
      </c>
      <c r="Y34" s="63">
        <f t="shared" ca="1" si="16"/>
        <v>5</v>
      </c>
    </row>
    <row r="35" spans="2:25" ht="15" customHeight="1">
      <c r="B35" s="10">
        <v>25</v>
      </c>
      <c r="C35" s="11" t="str">
        <f t="shared" si="20"/>
        <v/>
      </c>
      <c r="D35" s="12" t="str">
        <f t="shared" si="21"/>
        <v>-</v>
      </c>
      <c r="E35" s="12" t="str">
        <f t="shared" si="22"/>
        <v>-</v>
      </c>
      <c r="F35" s="13" t="str">
        <f t="shared" si="23"/>
        <v>-</v>
      </c>
      <c r="G35" s="14" t="str">
        <f t="shared" si="24"/>
        <v/>
      </c>
      <c r="H35" s="14" t="str">
        <f t="shared" si="10"/>
        <v>-</v>
      </c>
      <c r="I35" s="14" t="str">
        <f t="shared" si="0"/>
        <v>-</v>
      </c>
      <c r="J35" s="14" t="str">
        <f t="shared" si="1"/>
        <v>-</v>
      </c>
      <c r="K35" s="14" t="str">
        <f t="shared" si="2"/>
        <v>-</v>
      </c>
      <c r="L35" s="98"/>
      <c r="M35" s="99" t="str">
        <f t="shared" si="25"/>
        <v/>
      </c>
      <c r="N35" s="99" t="str">
        <f t="shared" si="3"/>
        <v>-</v>
      </c>
      <c r="O35" s="100"/>
      <c r="P35" s="73" t="str">
        <f>IF($G$5&gt;=B35,(IF(((SUM($H$11:H35))&lt;=0),1,((SUM($H$11:H35)-(SUM($P$10:P34)))))),"")</f>
        <v/>
      </c>
      <c r="Q35" s="73" t="str">
        <f t="shared" si="26"/>
        <v/>
      </c>
      <c r="R35" s="98" t="str">
        <f t="shared" si="4"/>
        <v/>
      </c>
      <c r="S35" s="72" t="str">
        <f>+IF($G$5&gt;=B35,IF('Simulador TC XL'!$I$11="NO",0,IF(G35*$G$7&gt;SDMax,SDMax,G35*$G$7)),"")</f>
        <v/>
      </c>
      <c r="T35" s="55" t="str">
        <f t="shared" si="13"/>
        <v/>
      </c>
      <c r="U35" s="56"/>
      <c r="W35" s="63" t="str">
        <f t="shared" ca="1" si="14"/>
        <v>2027</v>
      </c>
      <c r="X35" s="63" t="str">
        <f t="shared" ca="1" si="15"/>
        <v>11</v>
      </c>
      <c r="Y35" s="63">
        <f t="shared" ca="1" si="16"/>
        <v>5</v>
      </c>
    </row>
    <row r="36" spans="2:25" ht="15" customHeight="1">
      <c r="B36" s="10">
        <v>26</v>
      </c>
      <c r="C36" s="11" t="str">
        <f t="shared" si="20"/>
        <v/>
      </c>
      <c r="D36" s="12" t="str">
        <f t="shared" si="21"/>
        <v>-</v>
      </c>
      <c r="E36" s="12" t="str">
        <f t="shared" si="22"/>
        <v>-</v>
      </c>
      <c r="F36" s="13" t="str">
        <f t="shared" si="23"/>
        <v>-</v>
      </c>
      <c r="G36" s="14" t="str">
        <f t="shared" si="24"/>
        <v/>
      </c>
      <c r="H36" s="14" t="str">
        <f t="shared" si="10"/>
        <v>-</v>
      </c>
      <c r="I36" s="14" t="str">
        <f t="shared" si="0"/>
        <v>-</v>
      </c>
      <c r="J36" s="14" t="str">
        <f t="shared" si="1"/>
        <v>-</v>
      </c>
      <c r="K36" s="14" t="str">
        <f t="shared" si="2"/>
        <v>-</v>
      </c>
      <c r="L36" s="98"/>
      <c r="M36" s="99" t="str">
        <f t="shared" si="25"/>
        <v/>
      </c>
      <c r="N36" s="99" t="str">
        <f t="shared" si="3"/>
        <v>-</v>
      </c>
      <c r="O36" s="100"/>
      <c r="P36" s="73" t="str">
        <f>IF($G$5&gt;=B36,(IF(((SUM($H$11:H36))&lt;=0),1,((SUM($H$11:H36)-(SUM($P$10:P35)))))),"")</f>
        <v/>
      </c>
      <c r="Q36" s="73" t="str">
        <f t="shared" si="26"/>
        <v/>
      </c>
      <c r="R36" s="98" t="str">
        <f t="shared" si="4"/>
        <v/>
      </c>
      <c r="S36" s="72" t="str">
        <f>+IF($G$5&gt;=B36,IF('Simulador TC XL'!$I$11="NO",0,IF(G36*$G$7&gt;SDMax,SDMax,G36*$G$7)),"")</f>
        <v/>
      </c>
      <c r="T36" s="55" t="str">
        <f t="shared" si="13"/>
        <v/>
      </c>
      <c r="U36" s="56"/>
      <c r="W36" s="63" t="str">
        <f t="shared" ca="1" si="14"/>
        <v>2027</v>
      </c>
      <c r="X36" s="63" t="str">
        <f t="shared" ca="1" si="15"/>
        <v>12</v>
      </c>
      <c r="Y36" s="63">
        <f t="shared" ca="1" si="16"/>
        <v>5</v>
      </c>
    </row>
    <row r="37" spans="2:25" ht="15" customHeight="1">
      <c r="B37" s="10">
        <v>27</v>
      </c>
      <c r="C37" s="11" t="str">
        <f t="shared" si="20"/>
        <v/>
      </c>
      <c r="D37" s="12" t="str">
        <f t="shared" si="21"/>
        <v>-</v>
      </c>
      <c r="E37" s="12" t="str">
        <f t="shared" si="22"/>
        <v>-</v>
      </c>
      <c r="F37" s="13" t="str">
        <f t="shared" si="23"/>
        <v>-</v>
      </c>
      <c r="G37" s="14" t="str">
        <f t="shared" si="24"/>
        <v/>
      </c>
      <c r="H37" s="14" t="str">
        <f t="shared" si="10"/>
        <v>-</v>
      </c>
      <c r="I37" s="14" t="str">
        <f t="shared" si="0"/>
        <v>-</v>
      </c>
      <c r="J37" s="14" t="str">
        <f t="shared" si="1"/>
        <v>-</v>
      </c>
      <c r="K37" s="14" t="str">
        <f t="shared" si="2"/>
        <v>-</v>
      </c>
      <c r="L37" s="98"/>
      <c r="M37" s="99" t="str">
        <f t="shared" si="25"/>
        <v/>
      </c>
      <c r="N37" s="99" t="str">
        <f t="shared" si="3"/>
        <v>-</v>
      </c>
      <c r="O37" s="100"/>
      <c r="P37" s="73" t="str">
        <f>IF($G$5&gt;=B37,(IF(((SUM($H$11:H37))&lt;=0),1,((SUM($H$11:H37)-(SUM($P$10:P36)))))),"")</f>
        <v/>
      </c>
      <c r="Q37" s="73" t="str">
        <f t="shared" si="26"/>
        <v/>
      </c>
      <c r="R37" s="98" t="str">
        <f t="shared" si="4"/>
        <v/>
      </c>
      <c r="S37" s="72" t="str">
        <f>+IF($G$5&gt;=B37,IF('Simulador TC XL'!$I$11="NO",0,IF(G37*$G$7&gt;SDMax,SDMax,G37*$G$7)),"")</f>
        <v/>
      </c>
      <c r="T37" s="55" t="str">
        <f t="shared" si="13"/>
        <v/>
      </c>
      <c r="U37" s="56"/>
      <c r="W37" s="63" t="str">
        <f t="shared" ca="1" si="14"/>
        <v>2028</v>
      </c>
      <c r="X37" s="63" t="str">
        <f t="shared" ca="1" si="15"/>
        <v>01</v>
      </c>
      <c r="Y37" s="63">
        <f t="shared" ca="1" si="16"/>
        <v>5</v>
      </c>
    </row>
    <row r="38" spans="2:25" ht="15" customHeight="1">
      <c r="B38" s="10">
        <v>28</v>
      </c>
      <c r="C38" s="11" t="str">
        <f t="shared" si="20"/>
        <v/>
      </c>
      <c r="D38" s="12" t="str">
        <f t="shared" si="21"/>
        <v>-</v>
      </c>
      <c r="E38" s="12" t="str">
        <f t="shared" si="22"/>
        <v>-</v>
      </c>
      <c r="F38" s="13" t="str">
        <f t="shared" si="23"/>
        <v>-</v>
      </c>
      <c r="G38" s="14" t="str">
        <f t="shared" si="24"/>
        <v/>
      </c>
      <c r="H38" s="14" t="str">
        <f t="shared" si="10"/>
        <v>-</v>
      </c>
      <c r="I38" s="14" t="str">
        <f t="shared" si="0"/>
        <v>-</v>
      </c>
      <c r="J38" s="14" t="str">
        <f t="shared" si="1"/>
        <v>-</v>
      </c>
      <c r="K38" s="14" t="str">
        <f t="shared" si="2"/>
        <v>-</v>
      </c>
      <c r="L38" s="98"/>
      <c r="M38" s="99" t="str">
        <f t="shared" si="25"/>
        <v/>
      </c>
      <c r="N38" s="99" t="str">
        <f t="shared" si="3"/>
        <v>-</v>
      </c>
      <c r="O38" s="100"/>
      <c r="P38" s="73" t="str">
        <f>IF($G$5&gt;=B38,(IF(((SUM($H$11:H38))&lt;=0),1,((SUM($H$11:H38)-(SUM($P$10:P37)))))),"")</f>
        <v/>
      </c>
      <c r="Q38" s="73" t="str">
        <f t="shared" si="26"/>
        <v/>
      </c>
      <c r="R38" s="98" t="str">
        <f t="shared" si="4"/>
        <v/>
      </c>
      <c r="S38" s="72" t="str">
        <f>+IF($G$5&gt;=B38,IF('Simulador TC XL'!$I$11="NO",0,IF(G38*$G$7&gt;SDMax,SDMax,G38*$G$7)),"")</f>
        <v/>
      </c>
      <c r="T38" s="55" t="str">
        <f t="shared" si="13"/>
        <v/>
      </c>
      <c r="U38" s="56"/>
      <c r="W38" s="63" t="str">
        <f t="shared" ca="1" si="14"/>
        <v>2028</v>
      </c>
      <c r="X38" s="63" t="str">
        <f t="shared" ca="1" si="15"/>
        <v>02</v>
      </c>
      <c r="Y38" s="63">
        <f t="shared" ca="1" si="16"/>
        <v>5</v>
      </c>
    </row>
    <row r="39" spans="2:25" ht="15" customHeight="1">
      <c r="B39" s="10">
        <v>29</v>
      </c>
      <c r="C39" s="11" t="str">
        <f t="shared" si="20"/>
        <v/>
      </c>
      <c r="D39" s="12" t="str">
        <f t="shared" si="21"/>
        <v>-</v>
      </c>
      <c r="E39" s="12" t="str">
        <f t="shared" si="22"/>
        <v>-</v>
      </c>
      <c r="F39" s="13" t="str">
        <f t="shared" si="23"/>
        <v>-</v>
      </c>
      <c r="G39" s="14" t="str">
        <f t="shared" si="24"/>
        <v/>
      </c>
      <c r="H39" s="14" t="str">
        <f t="shared" si="10"/>
        <v>-</v>
      </c>
      <c r="I39" s="14" t="str">
        <f t="shared" si="0"/>
        <v>-</v>
      </c>
      <c r="J39" s="14" t="str">
        <f t="shared" si="1"/>
        <v>-</v>
      </c>
      <c r="K39" s="14" t="str">
        <f t="shared" si="2"/>
        <v>-</v>
      </c>
      <c r="L39" s="98"/>
      <c r="M39" s="99" t="str">
        <f t="shared" si="25"/>
        <v/>
      </c>
      <c r="N39" s="99" t="str">
        <f t="shared" si="3"/>
        <v>-</v>
      </c>
      <c r="O39" s="100"/>
      <c r="P39" s="73" t="str">
        <f>IF($G$5&gt;=B39,(IF(((SUM($H$11:H39))&lt;=0),1,((SUM($H$11:H39)-(SUM($P$10:P38)))))),"")</f>
        <v/>
      </c>
      <c r="Q39" s="73" t="str">
        <f t="shared" si="26"/>
        <v/>
      </c>
      <c r="R39" s="98" t="str">
        <f t="shared" si="4"/>
        <v/>
      </c>
      <c r="S39" s="72" t="str">
        <f>+IF($G$5&gt;=B39,IF('Simulador TC XL'!$I$11="NO",0,IF(G39*$G$7&gt;SDMax,SDMax,G39*$G$7)),"")</f>
        <v/>
      </c>
      <c r="T39" s="55" t="str">
        <f t="shared" si="13"/>
        <v/>
      </c>
      <c r="U39" s="60"/>
      <c r="W39" s="63" t="str">
        <f t="shared" ca="1" si="14"/>
        <v>2028</v>
      </c>
      <c r="X39" s="63" t="str">
        <f t="shared" ca="1" si="15"/>
        <v>03</v>
      </c>
      <c r="Y39" s="63">
        <f t="shared" ca="1" si="16"/>
        <v>5</v>
      </c>
    </row>
    <row r="40" spans="2:25" ht="15" customHeight="1">
      <c r="B40" s="10">
        <v>30</v>
      </c>
      <c r="C40" s="11" t="str">
        <f t="shared" si="20"/>
        <v/>
      </c>
      <c r="D40" s="12" t="str">
        <f t="shared" si="21"/>
        <v>-</v>
      </c>
      <c r="E40" s="12" t="str">
        <f t="shared" si="22"/>
        <v>-</v>
      </c>
      <c r="F40" s="13" t="str">
        <f t="shared" si="23"/>
        <v>-</v>
      </c>
      <c r="G40" s="14" t="str">
        <f t="shared" si="24"/>
        <v/>
      </c>
      <c r="H40" s="14" t="str">
        <f t="shared" si="10"/>
        <v>-</v>
      </c>
      <c r="I40" s="14" t="str">
        <f t="shared" si="0"/>
        <v>-</v>
      </c>
      <c r="J40" s="14" t="str">
        <f t="shared" si="1"/>
        <v>-</v>
      </c>
      <c r="K40" s="14" t="str">
        <f t="shared" si="2"/>
        <v>-</v>
      </c>
      <c r="L40" s="98"/>
      <c r="M40" s="99" t="str">
        <f t="shared" si="25"/>
        <v/>
      </c>
      <c r="N40" s="99" t="str">
        <f t="shared" si="3"/>
        <v>-</v>
      </c>
      <c r="O40" s="100"/>
      <c r="P40" s="73" t="str">
        <f>IF($G$5&gt;=B40,(IF(((SUM($H$11:H40))&lt;=0),1,((SUM($H$11:H40)-(SUM($P$10:P39)))))),"")</f>
        <v/>
      </c>
      <c r="Q40" s="73" t="str">
        <f t="shared" si="26"/>
        <v/>
      </c>
      <c r="R40" s="98" t="str">
        <f t="shared" si="4"/>
        <v/>
      </c>
      <c r="S40" s="72" t="str">
        <f>+IF($G$5&gt;=B40,IF('Simulador TC XL'!$I$11="NO",0,IF(G40*$G$7&gt;SDMax,SDMax,G40*$G$7)),"")</f>
        <v/>
      </c>
      <c r="T40" s="55" t="str">
        <f t="shared" si="13"/>
        <v/>
      </c>
      <c r="W40" s="63" t="str">
        <f t="shared" ca="1" si="14"/>
        <v>2028</v>
      </c>
      <c r="X40" s="63" t="str">
        <f t="shared" ca="1" si="15"/>
        <v>04</v>
      </c>
      <c r="Y40" s="63">
        <f t="shared" ca="1" si="16"/>
        <v>5</v>
      </c>
    </row>
    <row r="41" spans="2:25" ht="15" customHeight="1">
      <c r="B41" s="10">
        <v>31</v>
      </c>
      <c r="C41" s="11" t="str">
        <f t="shared" si="20"/>
        <v/>
      </c>
      <c r="D41" s="12" t="str">
        <f t="shared" si="21"/>
        <v>-</v>
      </c>
      <c r="E41" s="12" t="str">
        <f t="shared" si="22"/>
        <v>-</v>
      </c>
      <c r="F41" s="13" t="str">
        <f t="shared" si="23"/>
        <v>-</v>
      </c>
      <c r="G41" s="14" t="str">
        <f t="shared" si="24"/>
        <v/>
      </c>
      <c r="H41" s="14" t="str">
        <f t="shared" si="10"/>
        <v>-</v>
      </c>
      <c r="I41" s="14" t="str">
        <f t="shared" si="0"/>
        <v>-</v>
      </c>
      <c r="J41" s="14" t="str">
        <f t="shared" si="1"/>
        <v>-</v>
      </c>
      <c r="K41" s="14" t="str">
        <f t="shared" si="2"/>
        <v>-</v>
      </c>
      <c r="L41" s="98"/>
      <c r="M41" s="99" t="str">
        <f t="shared" si="25"/>
        <v/>
      </c>
      <c r="N41" s="99" t="str">
        <f t="shared" si="3"/>
        <v>-</v>
      </c>
      <c r="O41" s="100"/>
      <c r="P41" s="73" t="str">
        <f>IF($G$5&gt;=B41,(IF(((SUM($H$11:H41))&lt;=0),1,((SUM($H$11:H41)-(SUM($P$10:P40)))))),"")</f>
        <v/>
      </c>
      <c r="Q41" s="73" t="str">
        <f t="shared" si="26"/>
        <v/>
      </c>
      <c r="R41" s="98" t="str">
        <f t="shared" si="4"/>
        <v/>
      </c>
      <c r="S41" s="72" t="str">
        <f>+IF($G$5&gt;=B41,IF('Simulador TC XL'!$I$11="NO",0,IF(G41*$G$7&gt;SDMax,SDMax,G41*$G$7)),"")</f>
        <v/>
      </c>
      <c r="T41" s="55" t="str">
        <f t="shared" si="13"/>
        <v/>
      </c>
      <c r="U41" s="61"/>
      <c r="W41" s="63" t="str">
        <f t="shared" ca="1" si="14"/>
        <v>2028</v>
      </c>
      <c r="X41" s="63" t="str">
        <f t="shared" ca="1" si="15"/>
        <v>05</v>
      </c>
      <c r="Y41" s="63">
        <f t="shared" ca="1" si="16"/>
        <v>5</v>
      </c>
    </row>
    <row r="42" spans="2:25" ht="15" customHeight="1">
      <c r="B42" s="10">
        <v>32</v>
      </c>
      <c r="C42" s="11" t="str">
        <f t="shared" si="20"/>
        <v/>
      </c>
      <c r="D42" s="12" t="str">
        <f t="shared" si="21"/>
        <v>-</v>
      </c>
      <c r="E42" s="12" t="str">
        <f t="shared" si="22"/>
        <v>-</v>
      </c>
      <c r="F42" s="13" t="str">
        <f t="shared" si="23"/>
        <v>-</v>
      </c>
      <c r="G42" s="14" t="str">
        <f t="shared" si="24"/>
        <v/>
      </c>
      <c r="H42" s="14" t="str">
        <f t="shared" si="10"/>
        <v>-</v>
      </c>
      <c r="I42" s="14" t="str">
        <f t="shared" si="0"/>
        <v>-</v>
      </c>
      <c r="J42" s="14" t="str">
        <f t="shared" si="1"/>
        <v>-</v>
      </c>
      <c r="K42" s="14" t="str">
        <f t="shared" si="2"/>
        <v>-</v>
      </c>
      <c r="L42" s="98"/>
      <c r="M42" s="99" t="str">
        <f t="shared" si="25"/>
        <v/>
      </c>
      <c r="N42" s="99" t="str">
        <f t="shared" si="3"/>
        <v>-</v>
      </c>
      <c r="O42" s="100"/>
      <c r="P42" s="73" t="str">
        <f>IF($G$5&gt;=B42,(IF(((SUM($H$11:H42))&lt;=0),1,((SUM($H$11:H42)-(SUM($P$10:P41)))))),"")</f>
        <v/>
      </c>
      <c r="Q42" s="73" t="str">
        <f t="shared" si="26"/>
        <v/>
      </c>
      <c r="R42" s="98" t="str">
        <f t="shared" si="4"/>
        <v/>
      </c>
      <c r="S42" s="72" t="str">
        <f>+IF($G$5&gt;=B42,IF('Simulador TC XL'!$I$11="NO",0,IF(G42*$G$7&gt;SDMax,SDMax,G42*$G$7)),"")</f>
        <v/>
      </c>
      <c r="T42" s="55" t="str">
        <f t="shared" si="13"/>
        <v/>
      </c>
      <c r="U42" s="62"/>
      <c r="W42" s="63" t="str">
        <f t="shared" ca="1" si="14"/>
        <v>2028</v>
      </c>
      <c r="X42" s="63" t="str">
        <f t="shared" ca="1" si="15"/>
        <v>06</v>
      </c>
      <c r="Y42" s="63">
        <f t="shared" ca="1" si="16"/>
        <v>5</v>
      </c>
    </row>
    <row r="43" spans="2:25" ht="15" customHeight="1">
      <c r="B43" s="10">
        <v>33</v>
      </c>
      <c r="C43" s="11" t="str">
        <f t="shared" si="20"/>
        <v/>
      </c>
      <c r="D43" s="12" t="str">
        <f t="shared" si="21"/>
        <v>-</v>
      </c>
      <c r="E43" s="12" t="str">
        <f t="shared" si="22"/>
        <v>-</v>
      </c>
      <c r="F43" s="13" t="str">
        <f t="shared" si="23"/>
        <v>-</v>
      </c>
      <c r="G43" s="14" t="str">
        <f t="shared" si="24"/>
        <v/>
      </c>
      <c r="H43" s="14" t="str">
        <f t="shared" si="10"/>
        <v>-</v>
      </c>
      <c r="I43" s="14" t="str">
        <f t="shared" si="0"/>
        <v>-</v>
      </c>
      <c r="J43" s="14" t="str">
        <f t="shared" si="1"/>
        <v>-</v>
      </c>
      <c r="K43" s="14" t="str">
        <f t="shared" si="2"/>
        <v>-</v>
      </c>
      <c r="L43" s="98"/>
      <c r="M43" s="99" t="str">
        <f t="shared" si="25"/>
        <v/>
      </c>
      <c r="N43" s="99" t="str">
        <f t="shared" si="3"/>
        <v>-</v>
      </c>
      <c r="O43" s="100"/>
      <c r="P43" s="73" t="str">
        <f>IF($G$5&gt;=B43,(IF(((SUM($H$11:H43))&lt;=0),1,((SUM($H$11:H43)-(SUM($P$10:P42)))))),"")</f>
        <v/>
      </c>
      <c r="Q43" s="73" t="str">
        <f t="shared" si="26"/>
        <v/>
      </c>
      <c r="R43" s="98" t="str">
        <f t="shared" si="4"/>
        <v/>
      </c>
      <c r="S43" s="72" t="str">
        <f>+IF($G$5&gt;=B43,IF('Simulador TC XL'!$I$11="NO",0,IF(G43*$G$7&gt;SDMax,SDMax,G43*$G$7)),"")</f>
        <v/>
      </c>
      <c r="T43" s="55" t="str">
        <f t="shared" si="13"/>
        <v/>
      </c>
      <c r="U43" s="62"/>
      <c r="W43" s="63" t="str">
        <f t="shared" ca="1" si="14"/>
        <v>2028</v>
      </c>
      <c r="X43" s="63" t="str">
        <f t="shared" ca="1" si="15"/>
        <v>07</v>
      </c>
      <c r="Y43" s="63">
        <f t="shared" ca="1" si="16"/>
        <v>5</v>
      </c>
    </row>
    <row r="44" spans="2:25" ht="15" customHeight="1">
      <c r="B44" s="10">
        <v>34</v>
      </c>
      <c r="C44" s="11" t="str">
        <f t="shared" si="20"/>
        <v/>
      </c>
      <c r="D44" s="12" t="str">
        <f t="shared" si="21"/>
        <v>-</v>
      </c>
      <c r="E44" s="12" t="str">
        <f t="shared" si="22"/>
        <v>-</v>
      </c>
      <c r="F44" s="13" t="str">
        <f t="shared" si="23"/>
        <v>-</v>
      </c>
      <c r="G44" s="14" t="str">
        <f t="shared" si="24"/>
        <v/>
      </c>
      <c r="H44" s="14" t="str">
        <f t="shared" si="10"/>
        <v>-</v>
      </c>
      <c r="I44" s="14" t="str">
        <f t="shared" si="0"/>
        <v>-</v>
      </c>
      <c r="J44" s="14" t="str">
        <f t="shared" si="1"/>
        <v>-</v>
      </c>
      <c r="K44" s="14" t="str">
        <f t="shared" si="2"/>
        <v>-</v>
      </c>
      <c r="L44" s="98"/>
      <c r="M44" s="99" t="str">
        <f t="shared" si="25"/>
        <v/>
      </c>
      <c r="N44" s="99" t="str">
        <f t="shared" si="3"/>
        <v>-</v>
      </c>
      <c r="O44" s="100"/>
      <c r="P44" s="73" t="str">
        <f>IF($G$5&gt;=B44,(IF(((SUM($H$11:H44))&lt;=0),1,((SUM($H$11:H44)-(SUM($P$10:P43)))))),"")</f>
        <v/>
      </c>
      <c r="Q44" s="73" t="str">
        <f t="shared" si="26"/>
        <v/>
      </c>
      <c r="R44" s="98" t="str">
        <f t="shared" si="4"/>
        <v/>
      </c>
      <c r="S44" s="72" t="str">
        <f>+IF($G$5&gt;=B44,IF('Simulador TC XL'!$I$11="NO",0,IF(G44*$G$7&gt;SDMax,SDMax,G44*$G$7)),"")</f>
        <v/>
      </c>
      <c r="T44" s="55" t="str">
        <f t="shared" si="13"/>
        <v/>
      </c>
      <c r="U44" s="62"/>
      <c r="W44" s="63" t="str">
        <f t="shared" ca="1" si="14"/>
        <v>2028</v>
      </c>
      <c r="X44" s="63" t="str">
        <f t="shared" ca="1" si="15"/>
        <v>08</v>
      </c>
      <c r="Y44" s="63">
        <f t="shared" ca="1" si="16"/>
        <v>5</v>
      </c>
    </row>
    <row r="45" spans="2:25" ht="15" customHeight="1">
      <c r="B45" s="10">
        <v>35</v>
      </c>
      <c r="C45" s="11" t="str">
        <f t="shared" si="20"/>
        <v/>
      </c>
      <c r="D45" s="12" t="str">
        <f t="shared" si="21"/>
        <v>-</v>
      </c>
      <c r="E45" s="12" t="str">
        <f t="shared" si="22"/>
        <v>-</v>
      </c>
      <c r="F45" s="13" t="str">
        <f t="shared" si="23"/>
        <v>-</v>
      </c>
      <c r="G45" s="14" t="str">
        <f t="shared" si="24"/>
        <v/>
      </c>
      <c r="H45" s="14" t="str">
        <f t="shared" si="10"/>
        <v>-</v>
      </c>
      <c r="I45" s="14" t="str">
        <f t="shared" si="0"/>
        <v>-</v>
      </c>
      <c r="J45" s="14" t="str">
        <f t="shared" si="1"/>
        <v>-</v>
      </c>
      <c r="K45" s="14" t="str">
        <f t="shared" si="2"/>
        <v>-</v>
      </c>
      <c r="L45" s="98"/>
      <c r="M45" s="99" t="str">
        <f t="shared" si="25"/>
        <v/>
      </c>
      <c r="N45" s="99" t="str">
        <f t="shared" si="3"/>
        <v>-</v>
      </c>
      <c r="O45" s="100"/>
      <c r="P45" s="73" t="str">
        <f>IF($G$5&gt;=B45,(IF(((SUM($H$11:H45))&lt;=0),1,((SUM($H$11:H45)-(SUM($P$10:P44)))))),"")</f>
        <v/>
      </c>
      <c r="Q45" s="73" t="str">
        <f t="shared" si="26"/>
        <v/>
      </c>
      <c r="R45" s="98" t="str">
        <f t="shared" si="4"/>
        <v/>
      </c>
      <c r="S45" s="72" t="str">
        <f>+IF($G$5&gt;=B45,IF('Simulador TC XL'!$I$11="NO",0,IF(G45*$G$7&gt;SDMax,SDMax,G45*$G$7)),"")</f>
        <v/>
      </c>
      <c r="T45" s="55" t="str">
        <f t="shared" si="13"/>
        <v/>
      </c>
      <c r="U45" s="62"/>
      <c r="W45" s="63" t="str">
        <f t="shared" ca="1" si="14"/>
        <v>2028</v>
      </c>
      <c r="X45" s="63" t="str">
        <f t="shared" ca="1" si="15"/>
        <v>09</v>
      </c>
      <c r="Y45" s="63">
        <f t="shared" ca="1" si="16"/>
        <v>5</v>
      </c>
    </row>
    <row r="46" spans="2:25" ht="15" customHeight="1" thickBot="1">
      <c r="B46" s="18">
        <v>36</v>
      </c>
      <c r="C46" s="11" t="str">
        <f t="shared" si="20"/>
        <v/>
      </c>
      <c r="D46" s="12" t="str">
        <f t="shared" si="21"/>
        <v>-</v>
      </c>
      <c r="E46" s="12" t="str">
        <f t="shared" si="22"/>
        <v>-</v>
      </c>
      <c r="F46" s="13" t="str">
        <f t="shared" si="23"/>
        <v>-</v>
      </c>
      <c r="G46" s="14" t="str">
        <f t="shared" si="24"/>
        <v/>
      </c>
      <c r="H46" s="19" t="str">
        <f t="shared" si="10"/>
        <v>-</v>
      </c>
      <c r="I46" s="19" t="str">
        <f t="shared" si="0"/>
        <v>-</v>
      </c>
      <c r="J46" s="19" t="str">
        <f t="shared" si="1"/>
        <v>-</v>
      </c>
      <c r="K46" s="19" t="str">
        <f t="shared" si="2"/>
        <v>-</v>
      </c>
      <c r="L46" s="106"/>
      <c r="M46" s="99" t="str">
        <f t="shared" si="25"/>
        <v/>
      </c>
      <c r="N46" s="107" t="str">
        <f t="shared" si="3"/>
        <v>-</v>
      </c>
      <c r="O46" s="108"/>
      <c r="P46" s="82" t="str">
        <f>IF($G$5&gt;=B46,(IF(((SUM($H$11:H46))&lt;=0),1,((SUM($H$11:H46)-(SUM($P$10:P45)))))),"")</f>
        <v/>
      </c>
      <c r="Q46" s="73" t="str">
        <f t="shared" si="26"/>
        <v/>
      </c>
      <c r="R46" s="106" t="str">
        <f t="shared" si="4"/>
        <v/>
      </c>
      <c r="S46" s="72" t="str">
        <f>+IF($G$5&gt;=B46,IF('Simulador TC XL'!$I$11="NO",0,IF(G46*$G$7&gt;SDMax,SDMax,G46*$G$7)),"")</f>
        <v/>
      </c>
      <c r="T46" s="55" t="str">
        <f t="shared" si="13"/>
        <v/>
      </c>
      <c r="U46" s="62"/>
      <c r="W46" s="63" t="str">
        <f t="shared" ca="1" si="14"/>
        <v>2028</v>
      </c>
      <c r="X46" s="63" t="str">
        <f t="shared" ca="1" si="15"/>
        <v>10</v>
      </c>
      <c r="Y46" s="63">
        <f t="shared" ca="1" si="16"/>
        <v>5</v>
      </c>
    </row>
    <row r="47" spans="2:25" ht="11.25" thickBot="1">
      <c r="B47" s="74"/>
      <c r="C47" s="75"/>
      <c r="D47" s="76">
        <f ca="1">SUM(D11:D46)</f>
        <v>330</v>
      </c>
      <c r="E47" s="77"/>
      <c r="F47" s="78">
        <f ca="1">SUM(F11:F46)</f>
        <v>8.7040554169999993</v>
      </c>
      <c r="G47" s="79"/>
      <c r="H47" s="80">
        <f ca="1">SUM(H11:H46)</f>
        <v>5000</v>
      </c>
      <c r="I47" s="80">
        <f ca="1">SUM(I11:I46)</f>
        <v>744.40000000000089</v>
      </c>
      <c r="J47" s="80">
        <f ca="1">SUM(J11:J46)</f>
        <v>5744.4000000000015</v>
      </c>
      <c r="K47" s="81"/>
      <c r="L47" s="93"/>
      <c r="M47" s="94">
        <f ca="1">SUM(M11:M46)</f>
        <v>5744.4000000000015</v>
      </c>
      <c r="N47" s="95">
        <f ca="1">SUM(N11:N46)</f>
        <v>0</v>
      </c>
      <c r="O47" s="96"/>
      <c r="P47" s="97">
        <f ca="1">SUM(P11:P46)</f>
        <v>5000</v>
      </c>
      <c r="Q47" s="97">
        <f ca="1">SUM(Q11:Q46)</f>
        <v>744.40000000000055</v>
      </c>
      <c r="R47" s="95">
        <f ca="1">SUM(R11:R46)</f>
        <v>5744.4000000000015</v>
      </c>
      <c r="S47" s="95">
        <f>SUM(S11:S46)</f>
        <v>0</v>
      </c>
      <c r="T47" s="95">
        <f ca="1">SUM(T11:T46)</f>
        <v>5744.4000000000015</v>
      </c>
      <c r="U47" s="62"/>
      <c r="W47" s="44" t="str">
        <f t="shared" ref="W47:W72" ca="1" si="27">IF(VALUE(X46)=12,TEXT(VALUE(W46)+1,"0000"),W46)</f>
        <v>2028</v>
      </c>
      <c r="X47" s="44" t="str">
        <f t="shared" ca="1" si="15"/>
        <v>11</v>
      </c>
      <c r="Y47" s="44">
        <f t="shared" ca="1" si="16"/>
        <v>5</v>
      </c>
    </row>
    <row r="48" spans="2:25" hidden="1">
      <c r="T48" s="62"/>
      <c r="U48" s="62"/>
      <c r="W48" s="44" t="str">
        <f t="shared" ca="1" si="27"/>
        <v>2028</v>
      </c>
      <c r="X48" s="44" t="str">
        <f t="shared" ca="1" si="15"/>
        <v>12</v>
      </c>
      <c r="Y48" s="44">
        <f t="shared" ca="1" si="16"/>
        <v>5</v>
      </c>
    </row>
    <row r="49" spans="2:25" ht="10.5" hidden="1" customHeight="1" thickBot="1">
      <c r="T49" s="62"/>
      <c r="U49" s="62"/>
      <c r="W49" s="44" t="str">
        <f t="shared" ca="1" si="27"/>
        <v>2029</v>
      </c>
      <c r="X49" s="44" t="str">
        <f t="shared" ca="1" si="15"/>
        <v>01</v>
      </c>
      <c r="Y49" s="44">
        <f t="shared" ca="1" si="16"/>
        <v>5</v>
      </c>
    </row>
    <row r="50" spans="2:25" ht="15" hidden="1" customHeight="1" thickBot="1">
      <c r="B50" s="183" t="s">
        <v>18</v>
      </c>
      <c r="C50" s="184"/>
      <c r="D50" s="185"/>
      <c r="T50" s="62"/>
      <c r="U50" s="62"/>
      <c r="W50" s="44" t="str">
        <f t="shared" ca="1" si="27"/>
        <v>2029</v>
      </c>
      <c r="X50" s="44" t="str">
        <f t="shared" ca="1" si="15"/>
        <v>02</v>
      </c>
      <c r="Y50" s="44">
        <f t="shared" ca="1" si="16"/>
        <v>5</v>
      </c>
    </row>
    <row r="51" spans="2:25" ht="12.75" hidden="1" customHeight="1">
      <c r="B51" s="21" t="s">
        <v>19</v>
      </c>
      <c r="C51" s="22">
        <v>0.98636000000000001</v>
      </c>
      <c r="D51" s="23" t="s">
        <v>20</v>
      </c>
      <c r="F51" s="1">
        <v>0.98636000000000001</v>
      </c>
      <c r="T51" s="62"/>
      <c r="U51" s="62"/>
      <c r="W51" s="44" t="str">
        <f t="shared" ca="1" si="27"/>
        <v>2029</v>
      </c>
      <c r="X51" s="44" t="str">
        <f t="shared" ca="1" si="15"/>
        <v>03</v>
      </c>
      <c r="Y51" s="44">
        <f t="shared" ca="1" si="16"/>
        <v>5</v>
      </c>
    </row>
    <row r="52" spans="2:25" ht="12.75" hidden="1" customHeight="1">
      <c r="B52" s="24" t="s">
        <v>3</v>
      </c>
      <c r="C52" s="25">
        <f>(((C51/100)+1)^(12)-1)</f>
        <v>0.12500025996746333</v>
      </c>
      <c r="D52" s="26" t="s">
        <v>21</v>
      </c>
      <c r="T52" s="62"/>
      <c r="U52" s="62"/>
      <c r="W52" s="44" t="str">
        <f t="shared" ca="1" si="27"/>
        <v>2029</v>
      </c>
      <c r="X52" s="44" t="str">
        <f t="shared" ca="1" si="15"/>
        <v>04</v>
      </c>
      <c r="Y52" s="44">
        <f t="shared" ca="1" si="16"/>
        <v>5</v>
      </c>
    </row>
    <row r="53" spans="2:25" ht="12.75" hidden="1" customHeight="1">
      <c r="B53" s="24" t="s">
        <v>5</v>
      </c>
      <c r="C53" s="27">
        <f>((1+C52)^(1/360))-1</f>
        <v>3.2722926876060932E-4</v>
      </c>
      <c r="D53" s="23" t="s">
        <v>22</v>
      </c>
      <c r="T53" s="62"/>
      <c r="U53" s="62"/>
      <c r="W53" s="44" t="str">
        <f t="shared" ca="1" si="27"/>
        <v>2029</v>
      </c>
      <c r="X53" s="44" t="str">
        <f t="shared" ca="1" si="15"/>
        <v>05</v>
      </c>
      <c r="Y53" s="44">
        <f t="shared" ca="1" si="16"/>
        <v>5</v>
      </c>
    </row>
    <row r="54" spans="2:25" ht="13.5" hidden="1" customHeight="1" thickBot="1">
      <c r="B54" s="28" t="s">
        <v>4</v>
      </c>
      <c r="C54" s="29">
        <f>C53*360</f>
        <v>0.11780253675381935</v>
      </c>
      <c r="D54" s="30" t="s">
        <v>23</v>
      </c>
      <c r="W54" s="44" t="str">
        <f t="shared" ca="1" si="27"/>
        <v>2029</v>
      </c>
      <c r="X54" s="44" t="str">
        <f t="shared" ca="1" si="15"/>
        <v>06</v>
      </c>
      <c r="Y54" s="44">
        <f t="shared" ca="1" si="16"/>
        <v>5</v>
      </c>
    </row>
    <row r="55" spans="2:25" ht="12.75" hidden="1" customHeight="1">
      <c r="B55" s="31"/>
      <c r="C55" s="31"/>
      <c r="D55" s="31"/>
      <c r="T55" s="61"/>
      <c r="U55" s="61"/>
      <c r="V55" s="59"/>
      <c r="W55" s="44" t="str">
        <f t="shared" ca="1" si="27"/>
        <v>2029</v>
      </c>
      <c r="X55" s="44" t="str">
        <f t="shared" ca="1" si="15"/>
        <v>07</v>
      </c>
      <c r="Y55" s="44">
        <f t="shared" ca="1" si="16"/>
        <v>5</v>
      </c>
    </row>
    <row r="56" spans="2:25" ht="12.75" hidden="1" customHeight="1" thickBot="1">
      <c r="B56" s="31"/>
      <c r="C56" s="31" t="s">
        <v>24</v>
      </c>
      <c r="D56" s="31" t="s">
        <v>24</v>
      </c>
      <c r="T56" s="62"/>
      <c r="U56" s="64"/>
      <c r="V56" s="59"/>
      <c r="W56" s="44" t="str">
        <f t="shared" ca="1" si="27"/>
        <v>2029</v>
      </c>
      <c r="X56" s="44" t="str">
        <f t="shared" ca="1" si="15"/>
        <v>08</v>
      </c>
      <c r="Y56" s="44">
        <f t="shared" ca="1" si="16"/>
        <v>5</v>
      </c>
    </row>
    <row r="57" spans="2:25" ht="15" hidden="1" customHeight="1">
      <c r="B57" s="186" t="s">
        <v>18</v>
      </c>
      <c r="C57" s="187"/>
      <c r="D57" s="188"/>
      <c r="P57" s="62">
        <f>+Q57+R57</f>
        <v>1331.53</v>
      </c>
      <c r="Q57" s="62">
        <v>1331.53</v>
      </c>
      <c r="R57" s="62"/>
      <c r="S57" s="62"/>
      <c r="T57" s="62"/>
      <c r="U57" s="64"/>
      <c r="V57" s="59"/>
      <c r="W57" s="44" t="str">
        <f t="shared" ca="1" si="27"/>
        <v>2029</v>
      </c>
      <c r="X57" s="44" t="str">
        <f t="shared" ca="1" si="15"/>
        <v>09</v>
      </c>
      <c r="Y57" s="44">
        <f t="shared" ca="1" si="16"/>
        <v>5</v>
      </c>
    </row>
    <row r="58" spans="2:25" ht="11.25" hidden="1" customHeight="1">
      <c r="B58" s="32" t="s">
        <v>25</v>
      </c>
      <c r="C58" s="33">
        <v>0.23653299999999999</v>
      </c>
      <c r="D58" s="23" t="s">
        <v>23</v>
      </c>
      <c r="T58" s="62"/>
      <c r="U58" s="64"/>
      <c r="V58" s="59"/>
      <c r="W58" s="44" t="str">
        <f t="shared" ca="1" si="27"/>
        <v>2029</v>
      </c>
      <c r="X58" s="44" t="str">
        <f t="shared" ca="1" si="15"/>
        <v>10</v>
      </c>
      <c r="Y58" s="44">
        <f t="shared" ca="1" si="16"/>
        <v>5</v>
      </c>
    </row>
    <row r="59" spans="2:25" ht="11.25" hidden="1" customHeight="1">
      <c r="B59" s="32" t="s">
        <v>5</v>
      </c>
      <c r="C59" s="34">
        <f>C58/360</f>
        <v>6.5703611111111115E-4</v>
      </c>
      <c r="D59" s="23" t="s">
        <v>22</v>
      </c>
      <c r="T59" s="62"/>
      <c r="U59" s="64"/>
      <c r="V59" s="59"/>
      <c r="W59" s="44" t="str">
        <f t="shared" ca="1" si="27"/>
        <v>2029</v>
      </c>
      <c r="X59" s="44" t="str">
        <f t="shared" ca="1" si="15"/>
        <v>11</v>
      </c>
      <c r="Y59" s="44">
        <f t="shared" ca="1" si="16"/>
        <v>5</v>
      </c>
    </row>
    <row r="60" spans="2:25" ht="11.25" hidden="1" customHeight="1">
      <c r="B60" s="32" t="s">
        <v>3</v>
      </c>
      <c r="C60" s="33">
        <f>(C59+1)^360-1</f>
        <v>0.26675096689155819</v>
      </c>
      <c r="D60" s="23" t="s">
        <v>21</v>
      </c>
      <c r="T60" s="62"/>
      <c r="U60" s="64"/>
      <c r="V60" s="59"/>
      <c r="W60" s="44" t="str">
        <f t="shared" ca="1" si="27"/>
        <v>2029</v>
      </c>
      <c r="X60" s="44" t="str">
        <f t="shared" ca="1" si="15"/>
        <v>12</v>
      </c>
      <c r="Y60" s="44">
        <f t="shared" ca="1" si="16"/>
        <v>5</v>
      </c>
    </row>
    <row r="61" spans="2:25" ht="12" hidden="1" customHeight="1" thickBot="1">
      <c r="B61" s="35" t="s">
        <v>1</v>
      </c>
      <c r="C61" s="36">
        <f>(1+C60)^(1/12)-1</f>
        <v>1.9900027993432934E-2</v>
      </c>
      <c r="D61" s="30" t="s">
        <v>20</v>
      </c>
      <c r="T61" s="62"/>
      <c r="U61" s="64"/>
      <c r="V61" s="59"/>
      <c r="W61" s="44" t="str">
        <f t="shared" ca="1" si="27"/>
        <v>2030</v>
      </c>
      <c r="X61" s="44" t="str">
        <f t="shared" ca="1" si="15"/>
        <v>01</v>
      </c>
      <c r="Y61" s="44">
        <f t="shared" ca="1" si="16"/>
        <v>5</v>
      </c>
    </row>
    <row r="62" spans="2:25" ht="11.25" hidden="1" customHeight="1">
      <c r="T62" s="62"/>
      <c r="U62" s="64"/>
      <c r="V62" s="59"/>
      <c r="W62" s="44" t="str">
        <f t="shared" ca="1" si="27"/>
        <v>2030</v>
      </c>
      <c r="X62" s="44" t="str">
        <f t="shared" ca="1" si="15"/>
        <v>02</v>
      </c>
      <c r="Y62" s="44">
        <f t="shared" ca="1" si="16"/>
        <v>5</v>
      </c>
    </row>
    <row r="63" spans="2:25" ht="11.25" hidden="1" customHeight="1">
      <c r="T63" s="62"/>
      <c r="U63" s="64"/>
      <c r="V63" s="59"/>
      <c r="W63" s="44" t="str">
        <f t="shared" ca="1" si="27"/>
        <v>2030</v>
      </c>
      <c r="X63" s="44" t="str">
        <f t="shared" ca="1" si="15"/>
        <v>03</v>
      </c>
      <c r="Y63" s="44">
        <f t="shared" ca="1" si="16"/>
        <v>5</v>
      </c>
    </row>
    <row r="64" spans="2:25" ht="11.25" hidden="1" customHeight="1">
      <c r="T64" s="62"/>
      <c r="U64" s="64"/>
      <c r="V64" s="59"/>
      <c r="W64" s="44" t="str">
        <f t="shared" ca="1" si="27"/>
        <v>2030</v>
      </c>
      <c r="X64" s="44" t="str">
        <f t="shared" ca="1" si="15"/>
        <v>04</v>
      </c>
      <c r="Y64" s="44">
        <f t="shared" ca="1" si="16"/>
        <v>5</v>
      </c>
    </row>
    <row r="65" spans="2:25" ht="11.25" hidden="1" customHeight="1">
      <c r="T65" s="62"/>
      <c r="U65" s="64"/>
      <c r="V65" s="59"/>
      <c r="W65" s="44" t="str">
        <f t="shared" ca="1" si="27"/>
        <v>2030</v>
      </c>
      <c r="X65" s="44" t="str">
        <f t="shared" ca="1" si="15"/>
        <v>05</v>
      </c>
      <c r="Y65" s="44">
        <f t="shared" ca="1" si="16"/>
        <v>5</v>
      </c>
    </row>
    <row r="66" spans="2:25" ht="11.25" hidden="1" customHeight="1">
      <c r="B66" s="16"/>
      <c r="I66" s="16"/>
      <c r="J66" s="16"/>
      <c r="K66" s="16"/>
      <c r="M66" s="59"/>
      <c r="N66" s="59"/>
      <c r="O66" s="59"/>
      <c r="P66" s="59"/>
      <c r="Q66" s="59"/>
      <c r="R66" s="59"/>
      <c r="S66" s="59"/>
      <c r="T66" s="64"/>
      <c r="U66" s="64"/>
      <c r="V66" s="59"/>
      <c r="W66" s="44" t="str">
        <f t="shared" ca="1" si="27"/>
        <v>2030</v>
      </c>
      <c r="X66" s="44" t="str">
        <f t="shared" ca="1" si="15"/>
        <v>06</v>
      </c>
      <c r="Y66" s="44">
        <f t="shared" ca="1" si="16"/>
        <v>5</v>
      </c>
    </row>
    <row r="67" spans="2:25" ht="10.5" hidden="1" customHeight="1">
      <c r="B67" s="16"/>
      <c r="I67" s="16"/>
      <c r="J67" s="16"/>
      <c r="K67" s="16"/>
      <c r="M67" s="59"/>
      <c r="N67" s="59"/>
      <c r="O67" s="59"/>
      <c r="P67" s="59"/>
      <c r="Q67" s="59"/>
      <c r="R67" s="59"/>
      <c r="S67" s="59"/>
      <c r="T67" s="64"/>
      <c r="U67" s="64"/>
      <c r="V67" s="59"/>
      <c r="W67" s="44" t="str">
        <f t="shared" ca="1" si="27"/>
        <v>2030</v>
      </c>
      <c r="X67" s="44" t="str">
        <f t="shared" ca="1" si="15"/>
        <v>07</v>
      </c>
      <c r="Y67" s="44">
        <f t="shared" ca="1" si="16"/>
        <v>5</v>
      </c>
    </row>
    <row r="68" spans="2:25" ht="10.5" hidden="1" customHeight="1">
      <c r="B68" s="16"/>
      <c r="I68" s="37"/>
      <c r="J68" s="16"/>
      <c r="K68" s="16"/>
      <c r="M68" s="59"/>
      <c r="N68" s="59"/>
      <c r="O68" s="59"/>
      <c r="P68" s="59"/>
      <c r="Q68" s="59"/>
      <c r="R68" s="59"/>
      <c r="S68" s="59"/>
      <c r="T68" s="64"/>
      <c r="U68" s="64"/>
      <c r="V68" s="59"/>
      <c r="W68" s="44" t="str">
        <f t="shared" ca="1" si="27"/>
        <v>2030</v>
      </c>
      <c r="X68" s="44" t="str">
        <f t="shared" ca="1" si="15"/>
        <v>08</v>
      </c>
      <c r="Y68" s="44">
        <f t="shared" ca="1" si="16"/>
        <v>5</v>
      </c>
    </row>
    <row r="69" spans="2:25" ht="10.5" hidden="1" customHeight="1">
      <c r="B69" s="16"/>
      <c r="I69" s="16"/>
      <c r="J69" s="37"/>
      <c r="K69" s="37"/>
      <c r="L69" s="65"/>
      <c r="M69" s="65"/>
      <c r="N69" s="59"/>
      <c r="O69" s="59"/>
      <c r="P69" s="59"/>
      <c r="Q69" s="59"/>
      <c r="R69" s="59"/>
      <c r="S69" s="59"/>
      <c r="T69" s="64"/>
      <c r="U69" s="64"/>
      <c r="V69" s="59"/>
      <c r="W69" s="44" t="str">
        <f t="shared" ca="1" si="27"/>
        <v>2030</v>
      </c>
      <c r="X69" s="44" t="str">
        <f t="shared" ca="1" si="15"/>
        <v>09</v>
      </c>
      <c r="Y69" s="44">
        <f t="shared" ca="1" si="16"/>
        <v>5</v>
      </c>
    </row>
    <row r="70" spans="2:25" ht="10.5" hidden="1" customHeight="1">
      <c r="B70" s="16"/>
      <c r="I70" s="16"/>
      <c r="J70" s="16"/>
      <c r="K70" s="16"/>
      <c r="M70" s="59"/>
      <c r="N70" s="59"/>
      <c r="O70" s="59"/>
      <c r="P70" s="59"/>
      <c r="Q70" s="59"/>
      <c r="R70" s="59"/>
      <c r="S70" s="59"/>
      <c r="T70" s="59"/>
      <c r="U70" s="59"/>
      <c r="V70" s="59"/>
      <c r="W70" s="44" t="str">
        <f t="shared" ca="1" si="27"/>
        <v>2030</v>
      </c>
      <c r="X70" s="44" t="str">
        <f t="shared" ca="1" si="15"/>
        <v>10</v>
      </c>
      <c r="Y70" s="44">
        <f t="shared" ca="1" si="16"/>
        <v>5</v>
      </c>
    </row>
    <row r="71" spans="2:25" ht="10.5" hidden="1" customHeight="1">
      <c r="B71" s="16"/>
      <c r="I71" s="16"/>
      <c r="J71" s="16"/>
      <c r="K71" s="16"/>
      <c r="M71" s="59"/>
      <c r="N71" s="59"/>
      <c r="O71" s="59"/>
      <c r="P71" s="59"/>
      <c r="Q71" s="59"/>
      <c r="R71" s="59"/>
      <c r="S71" s="59"/>
      <c r="T71" s="59"/>
      <c r="U71" s="59"/>
      <c r="V71" s="59"/>
      <c r="W71" s="44" t="str">
        <f t="shared" ca="1" si="27"/>
        <v>2030</v>
      </c>
      <c r="X71" s="44" t="str">
        <f t="shared" ca="1" si="15"/>
        <v>11</v>
      </c>
      <c r="Y71" s="44">
        <f t="shared" ca="1" si="16"/>
        <v>5</v>
      </c>
    </row>
    <row r="72" spans="2:25" ht="10.5" hidden="1" customHeight="1">
      <c r="B72" s="16"/>
      <c r="C72" s="16"/>
      <c r="D72" s="16"/>
      <c r="E72" s="16"/>
      <c r="F72" s="16"/>
      <c r="G72" s="16"/>
      <c r="H72" s="16"/>
      <c r="I72" s="16"/>
      <c r="J72" s="16"/>
      <c r="K72" s="16"/>
      <c r="M72" s="59"/>
      <c r="N72" s="59"/>
      <c r="O72" s="59"/>
      <c r="P72" s="59"/>
      <c r="Q72" s="59"/>
      <c r="R72" s="59"/>
      <c r="S72" s="59"/>
      <c r="T72" s="66"/>
      <c r="U72" s="59"/>
      <c r="V72" s="59"/>
      <c r="W72" s="44" t="str">
        <f t="shared" ca="1" si="27"/>
        <v>2030</v>
      </c>
      <c r="X72" s="44" t="str">
        <f t="shared" ca="1" si="15"/>
        <v>12</v>
      </c>
      <c r="Y72" s="44">
        <f t="shared" ca="1" si="16"/>
        <v>5</v>
      </c>
    </row>
    <row r="73" spans="2:25" ht="10.5" hidden="1" customHeight="1">
      <c r="B73" s="16"/>
      <c r="C73" s="16"/>
      <c r="D73" s="16"/>
      <c r="E73" s="16"/>
      <c r="F73" s="37"/>
      <c r="G73" s="37"/>
      <c r="H73" s="37"/>
      <c r="I73" s="37"/>
      <c r="J73" s="37"/>
      <c r="K73" s="37"/>
      <c r="L73" s="65"/>
      <c r="M73" s="65"/>
      <c r="N73" s="59"/>
      <c r="O73" s="59"/>
      <c r="P73" s="59"/>
      <c r="Q73" s="59"/>
      <c r="R73" s="59"/>
      <c r="S73" s="59"/>
      <c r="T73" s="59"/>
      <c r="U73" s="59"/>
      <c r="V73" s="59"/>
      <c r="W73" s="44" t="str">
        <f t="shared" ref="W73:W93" ca="1" si="28">IF(VALUE(X72)=12,TEXT(VALUE(W72)+1,"0000"),W72)</f>
        <v>2031</v>
      </c>
      <c r="X73" s="44" t="str">
        <f t="shared" ca="1" si="15"/>
        <v>01</v>
      </c>
      <c r="Y73" s="44">
        <f t="shared" ca="1" si="16"/>
        <v>5</v>
      </c>
    </row>
    <row r="74" spans="2:25" ht="10.5" hidden="1" customHeight="1">
      <c r="B74" s="16"/>
      <c r="C74" s="16"/>
      <c r="D74" s="16"/>
      <c r="E74" s="16"/>
      <c r="F74" s="16"/>
      <c r="G74" s="16"/>
      <c r="H74" s="16"/>
      <c r="I74" s="16"/>
      <c r="J74" s="16"/>
      <c r="K74" s="16"/>
      <c r="M74" s="59"/>
      <c r="N74" s="59"/>
      <c r="O74" s="59"/>
      <c r="P74" s="59"/>
      <c r="Q74" s="59"/>
      <c r="R74" s="59"/>
      <c r="S74" s="59"/>
      <c r="T74" s="61"/>
      <c r="U74" s="61"/>
      <c r="V74" s="59"/>
      <c r="W74" s="44" t="str">
        <f t="shared" ca="1" si="28"/>
        <v>2031</v>
      </c>
      <c r="X74" s="44" t="str">
        <f t="shared" ca="1" si="15"/>
        <v>02</v>
      </c>
      <c r="Y74" s="44">
        <f t="shared" ca="1" si="16"/>
        <v>5</v>
      </c>
    </row>
    <row r="75" spans="2:25" ht="11.25" hidden="1" customHeight="1">
      <c r="B75" s="16"/>
      <c r="C75" s="16"/>
      <c r="D75" s="16"/>
      <c r="E75" s="16"/>
      <c r="F75" s="16"/>
      <c r="G75" s="16"/>
      <c r="H75" s="16"/>
      <c r="I75" s="16"/>
      <c r="J75" s="16"/>
      <c r="K75" s="16"/>
      <c r="M75" s="59"/>
      <c r="N75" s="59"/>
      <c r="O75" s="59"/>
      <c r="P75" s="59"/>
      <c r="Q75" s="59"/>
      <c r="R75" s="59"/>
      <c r="S75" s="59"/>
      <c r="T75" s="64"/>
      <c r="U75" s="64"/>
      <c r="V75" s="64"/>
      <c r="W75" s="44" t="str">
        <f t="shared" ca="1" si="28"/>
        <v>2031</v>
      </c>
      <c r="X75" s="44" t="str">
        <f t="shared" ca="1" si="15"/>
        <v>03</v>
      </c>
      <c r="Y75" s="44">
        <f t="shared" ca="1" si="16"/>
        <v>5</v>
      </c>
    </row>
    <row r="76" spans="2:25" ht="11.25" hidden="1" customHeight="1">
      <c r="B76" s="16"/>
      <c r="C76" s="16"/>
      <c r="D76" s="16"/>
      <c r="E76" s="16"/>
      <c r="F76" s="16"/>
      <c r="G76" s="16"/>
      <c r="H76" s="16"/>
      <c r="I76" s="16"/>
      <c r="J76" s="16"/>
      <c r="K76" s="16"/>
      <c r="M76" s="59"/>
      <c r="N76" s="59"/>
      <c r="O76" s="59"/>
      <c r="P76" s="59"/>
      <c r="Q76" s="59"/>
      <c r="R76" s="59"/>
      <c r="S76" s="59"/>
      <c r="T76" s="64"/>
      <c r="U76" s="64"/>
      <c r="V76" s="59"/>
      <c r="W76" s="44" t="str">
        <f t="shared" ca="1" si="28"/>
        <v>2031</v>
      </c>
      <c r="X76" s="44" t="str">
        <f t="shared" ref="X76:X93" ca="1" si="29">IF(VALUE(X75)=12,"01",TEXT(VALUE(X75)+1,"00"))</f>
        <v>04</v>
      </c>
      <c r="Y76" s="44">
        <f t="shared" ref="Y76:Y93" ca="1" si="30">Y75</f>
        <v>5</v>
      </c>
    </row>
    <row r="77" spans="2:25" ht="11.25" hidden="1" customHeight="1">
      <c r="B77" s="16"/>
      <c r="C77" s="16"/>
      <c r="D77" s="16"/>
      <c r="E77" s="16"/>
      <c r="F77" s="37"/>
      <c r="G77" s="37"/>
      <c r="H77" s="37"/>
      <c r="I77" s="16"/>
      <c r="J77" s="37"/>
      <c r="K77" s="37"/>
      <c r="L77" s="65"/>
      <c r="M77" s="65"/>
      <c r="N77" s="59"/>
      <c r="O77" s="59"/>
      <c r="P77" s="59"/>
      <c r="Q77" s="59"/>
      <c r="R77" s="59"/>
      <c r="S77" s="59"/>
      <c r="T77" s="64"/>
      <c r="U77" s="64"/>
      <c r="V77" s="59"/>
      <c r="W77" s="44" t="str">
        <f t="shared" ca="1" si="28"/>
        <v>2031</v>
      </c>
      <c r="X77" s="44" t="str">
        <f t="shared" ca="1" si="29"/>
        <v>05</v>
      </c>
      <c r="Y77" s="44">
        <f t="shared" ca="1" si="30"/>
        <v>5</v>
      </c>
    </row>
    <row r="78" spans="2:25" ht="11.25" hidden="1" customHeight="1">
      <c r="B78" s="16"/>
      <c r="C78" s="16"/>
      <c r="D78" s="16"/>
      <c r="E78" s="16"/>
      <c r="F78" s="16"/>
      <c r="G78" s="16"/>
      <c r="H78" s="16"/>
      <c r="I78" s="16"/>
      <c r="J78" s="16"/>
      <c r="K78" s="16"/>
      <c r="M78" s="59"/>
      <c r="N78" s="59"/>
      <c r="O78" s="59"/>
      <c r="P78" s="59"/>
      <c r="Q78" s="59"/>
      <c r="R78" s="59"/>
      <c r="S78" s="59"/>
      <c r="T78" s="64"/>
      <c r="U78" s="64"/>
      <c r="V78" s="59"/>
      <c r="W78" s="44" t="str">
        <f t="shared" ca="1" si="28"/>
        <v>2031</v>
      </c>
      <c r="X78" s="44" t="str">
        <f t="shared" ca="1" si="29"/>
        <v>06</v>
      </c>
      <c r="Y78" s="44">
        <f t="shared" ca="1" si="30"/>
        <v>5</v>
      </c>
    </row>
    <row r="79" spans="2:25" ht="11.25" hidden="1" customHeight="1">
      <c r="B79" s="16"/>
      <c r="C79" s="37"/>
      <c r="D79" s="16"/>
      <c r="E79" s="16"/>
      <c r="F79" s="16"/>
      <c r="G79" s="16"/>
      <c r="H79" s="16"/>
      <c r="I79" s="16"/>
      <c r="J79" s="16"/>
      <c r="K79" s="16"/>
      <c r="M79" s="59"/>
      <c r="N79" s="59"/>
      <c r="O79" s="59"/>
      <c r="P79" s="59"/>
      <c r="Q79" s="59"/>
      <c r="R79" s="59"/>
      <c r="S79" s="59"/>
      <c r="T79" s="64"/>
      <c r="U79" s="64"/>
      <c r="V79" s="59"/>
      <c r="W79" s="44" t="str">
        <f t="shared" ca="1" si="28"/>
        <v>2031</v>
      </c>
      <c r="X79" s="44" t="str">
        <f t="shared" ca="1" si="29"/>
        <v>07</v>
      </c>
      <c r="Y79" s="44">
        <f t="shared" ca="1" si="30"/>
        <v>5</v>
      </c>
    </row>
    <row r="80" spans="2:25" ht="11.25" hidden="1" customHeight="1">
      <c r="B80" s="16"/>
      <c r="C80" s="16"/>
      <c r="D80" s="16"/>
      <c r="E80" s="16"/>
      <c r="F80" s="16"/>
      <c r="G80" s="37"/>
      <c r="H80" s="16"/>
      <c r="I80" s="16"/>
      <c r="J80" s="16"/>
      <c r="K80" s="16"/>
      <c r="M80" s="59"/>
      <c r="N80" s="59"/>
      <c r="O80" s="59"/>
      <c r="P80" s="59"/>
      <c r="Q80" s="59"/>
      <c r="R80" s="59"/>
      <c r="S80" s="59"/>
      <c r="T80" s="64"/>
      <c r="U80" s="64"/>
      <c r="V80" s="59"/>
      <c r="W80" s="44" t="str">
        <f t="shared" ca="1" si="28"/>
        <v>2031</v>
      </c>
      <c r="X80" s="44" t="str">
        <f t="shared" ca="1" si="29"/>
        <v>08</v>
      </c>
      <c r="Y80" s="44">
        <f t="shared" ca="1" si="30"/>
        <v>5</v>
      </c>
    </row>
    <row r="81" spans="2:25" ht="11.25" hidden="1" customHeight="1">
      <c r="B81" s="16"/>
      <c r="C81" s="16"/>
      <c r="D81" s="16"/>
      <c r="E81" s="16"/>
      <c r="F81" s="37"/>
      <c r="G81" s="37"/>
      <c r="H81" s="37"/>
      <c r="I81" s="16"/>
      <c r="J81" s="16"/>
      <c r="K81" s="16"/>
      <c r="M81" s="59"/>
      <c r="N81" s="59"/>
      <c r="O81" s="59"/>
      <c r="P81" s="59"/>
      <c r="Q81" s="59"/>
      <c r="R81" s="59"/>
      <c r="S81" s="59"/>
      <c r="T81" s="64"/>
      <c r="U81" s="64"/>
      <c r="V81" s="59"/>
      <c r="W81" s="44" t="str">
        <f t="shared" ca="1" si="28"/>
        <v>2031</v>
      </c>
      <c r="X81" s="44" t="str">
        <f t="shared" ca="1" si="29"/>
        <v>09</v>
      </c>
      <c r="Y81" s="44">
        <f t="shared" ca="1" si="30"/>
        <v>5</v>
      </c>
    </row>
    <row r="82" spans="2:25" ht="11.25" hidden="1" customHeight="1">
      <c r="B82" s="16"/>
      <c r="C82" s="16"/>
      <c r="D82" s="16"/>
      <c r="E82" s="16"/>
      <c r="F82" s="16"/>
      <c r="G82" s="16"/>
      <c r="H82" s="16"/>
      <c r="I82" s="16"/>
      <c r="J82" s="16"/>
      <c r="K82" s="16"/>
      <c r="M82" s="59"/>
      <c r="N82" s="59"/>
      <c r="O82" s="59"/>
      <c r="P82" s="59"/>
      <c r="Q82" s="59"/>
      <c r="R82" s="59"/>
      <c r="S82" s="59"/>
      <c r="T82" s="64"/>
      <c r="U82" s="64"/>
      <c r="V82" s="59"/>
      <c r="W82" s="44" t="str">
        <f t="shared" ca="1" si="28"/>
        <v>2031</v>
      </c>
      <c r="X82" s="44" t="str">
        <f t="shared" ca="1" si="29"/>
        <v>10</v>
      </c>
      <c r="Y82" s="44">
        <f t="shared" ca="1" si="30"/>
        <v>5</v>
      </c>
    </row>
    <row r="83" spans="2:25" ht="11.25" hidden="1" customHeight="1">
      <c r="B83" s="16"/>
      <c r="C83" s="16"/>
      <c r="D83" s="16"/>
      <c r="E83" s="16"/>
      <c r="F83" s="16"/>
      <c r="G83" s="16"/>
      <c r="H83" s="16"/>
      <c r="I83" s="16"/>
      <c r="J83" s="16"/>
      <c r="K83" s="16"/>
      <c r="M83" s="59"/>
      <c r="N83" s="59"/>
      <c r="O83" s="59"/>
      <c r="P83" s="59"/>
      <c r="Q83" s="59"/>
      <c r="R83" s="59"/>
      <c r="S83" s="59"/>
      <c r="T83" s="64"/>
      <c r="U83" s="64"/>
      <c r="V83" s="59"/>
      <c r="W83" s="44" t="str">
        <f t="shared" ca="1" si="28"/>
        <v>2031</v>
      </c>
      <c r="X83" s="44" t="str">
        <f t="shared" ca="1" si="29"/>
        <v>11</v>
      </c>
      <c r="Y83" s="44">
        <f t="shared" ca="1" si="30"/>
        <v>5</v>
      </c>
    </row>
    <row r="84" spans="2:25" ht="11.25" hidden="1" customHeight="1">
      <c r="B84" s="16"/>
      <c r="C84" s="16"/>
      <c r="D84" s="16"/>
      <c r="E84" s="16"/>
      <c r="F84" s="16"/>
      <c r="G84" s="16"/>
      <c r="H84" s="16"/>
      <c r="I84" s="16"/>
      <c r="J84" s="16"/>
      <c r="K84" s="16"/>
      <c r="M84" s="59"/>
      <c r="N84" s="59"/>
      <c r="O84" s="59"/>
      <c r="P84" s="59"/>
      <c r="Q84" s="59"/>
      <c r="R84" s="59"/>
      <c r="S84" s="59"/>
      <c r="T84" s="64"/>
      <c r="U84" s="64"/>
      <c r="V84" s="59"/>
      <c r="W84" s="44" t="str">
        <f t="shared" ca="1" si="28"/>
        <v>2031</v>
      </c>
      <c r="X84" s="44" t="str">
        <f t="shared" ca="1" si="29"/>
        <v>12</v>
      </c>
      <c r="Y84" s="44">
        <f t="shared" ca="1" si="30"/>
        <v>5</v>
      </c>
    </row>
    <row r="85" spans="2:25" ht="11.25" hidden="1" customHeight="1">
      <c r="B85" s="16"/>
      <c r="C85" s="16"/>
      <c r="D85" s="16"/>
      <c r="E85" s="16"/>
      <c r="F85" s="37"/>
      <c r="G85" s="37"/>
      <c r="H85" s="37"/>
      <c r="I85" s="16"/>
      <c r="J85" s="16"/>
      <c r="K85" s="16"/>
      <c r="M85" s="59"/>
      <c r="N85" s="59"/>
      <c r="O85" s="59"/>
      <c r="P85" s="59"/>
      <c r="Q85" s="59"/>
      <c r="R85" s="59"/>
      <c r="S85" s="59"/>
      <c r="T85" s="64"/>
      <c r="U85" s="64"/>
      <c r="V85" s="59"/>
      <c r="W85" s="44" t="str">
        <f t="shared" ca="1" si="28"/>
        <v>2032</v>
      </c>
      <c r="X85" s="44" t="str">
        <f t="shared" ca="1" si="29"/>
        <v>01</v>
      </c>
      <c r="Y85" s="44">
        <f t="shared" ca="1" si="30"/>
        <v>5</v>
      </c>
    </row>
    <row r="86" spans="2:25" ht="10.5" hidden="1" customHeight="1">
      <c r="B86" s="16"/>
      <c r="C86" s="16"/>
      <c r="D86" s="16"/>
      <c r="E86" s="16"/>
      <c r="F86" s="16"/>
      <c r="G86" s="16"/>
      <c r="H86" s="16"/>
      <c r="I86" s="16"/>
      <c r="J86" s="16"/>
      <c r="K86" s="16"/>
      <c r="M86" s="59"/>
      <c r="N86" s="59"/>
      <c r="O86" s="59"/>
      <c r="P86" s="59"/>
      <c r="Q86" s="59"/>
      <c r="R86" s="59"/>
      <c r="S86" s="59"/>
      <c r="T86" s="67"/>
      <c r="U86" s="67"/>
      <c r="V86" s="59"/>
      <c r="W86" s="44" t="str">
        <f t="shared" ca="1" si="28"/>
        <v>2032</v>
      </c>
      <c r="X86" s="44" t="str">
        <f t="shared" ca="1" si="29"/>
        <v>02</v>
      </c>
      <c r="Y86" s="44">
        <f t="shared" ca="1" si="30"/>
        <v>5</v>
      </c>
    </row>
    <row r="87" spans="2:25" ht="10.5" hidden="1" customHeight="1">
      <c r="B87" s="16"/>
      <c r="C87" s="38"/>
      <c r="D87" s="16"/>
      <c r="E87" s="16"/>
      <c r="F87" s="16"/>
      <c r="G87" s="16"/>
      <c r="H87" s="16"/>
      <c r="I87" s="16"/>
      <c r="J87" s="16"/>
      <c r="K87" s="16"/>
      <c r="M87" s="59"/>
      <c r="N87" s="59"/>
      <c r="O87" s="59"/>
      <c r="P87" s="59"/>
      <c r="Q87" s="59"/>
      <c r="R87" s="59"/>
      <c r="S87" s="59"/>
      <c r="T87" s="64"/>
      <c r="U87" s="64"/>
      <c r="V87" s="59"/>
      <c r="W87" s="44" t="str">
        <f t="shared" ca="1" si="28"/>
        <v>2032</v>
      </c>
      <c r="X87" s="44" t="str">
        <f t="shared" ca="1" si="29"/>
        <v>03</v>
      </c>
      <c r="Y87" s="44">
        <f t="shared" ca="1" si="30"/>
        <v>5</v>
      </c>
    </row>
    <row r="88" spans="2:25" ht="10.5" hidden="1" customHeight="1">
      <c r="B88" s="16"/>
      <c r="C88" s="16"/>
      <c r="D88" s="16"/>
      <c r="E88" s="16"/>
      <c r="F88" s="16"/>
      <c r="G88" s="16"/>
      <c r="H88" s="16"/>
      <c r="I88" s="16"/>
      <c r="J88" s="16"/>
      <c r="K88" s="16"/>
      <c r="M88" s="59"/>
      <c r="N88" s="59"/>
      <c r="O88" s="59"/>
      <c r="P88" s="59"/>
      <c r="Q88" s="59"/>
      <c r="R88" s="59"/>
      <c r="S88" s="59"/>
      <c r="T88" s="59"/>
      <c r="U88" s="59"/>
      <c r="V88" s="59"/>
      <c r="W88" s="44" t="str">
        <f t="shared" ca="1" si="28"/>
        <v>2032</v>
      </c>
      <c r="X88" s="44" t="str">
        <f t="shared" ca="1" si="29"/>
        <v>04</v>
      </c>
      <c r="Y88" s="44">
        <f t="shared" ca="1" si="30"/>
        <v>5</v>
      </c>
    </row>
    <row r="89" spans="2:25" ht="10.5" hidden="1" customHeight="1">
      <c r="B89" s="16"/>
      <c r="C89" s="16"/>
      <c r="D89" s="16"/>
      <c r="E89" s="16"/>
      <c r="F89" s="37"/>
      <c r="G89" s="37"/>
      <c r="H89" s="37"/>
      <c r="I89" s="16"/>
      <c r="J89" s="16"/>
      <c r="K89" s="16"/>
      <c r="M89" s="59"/>
      <c r="N89" s="59"/>
      <c r="O89" s="59"/>
      <c r="P89" s="59"/>
      <c r="Q89" s="59"/>
      <c r="R89" s="59"/>
      <c r="S89" s="59"/>
      <c r="T89" s="59"/>
      <c r="U89" s="59"/>
      <c r="V89" s="59"/>
      <c r="W89" s="44" t="str">
        <f t="shared" ca="1" si="28"/>
        <v>2032</v>
      </c>
      <c r="X89" s="44" t="str">
        <f t="shared" ca="1" si="29"/>
        <v>05</v>
      </c>
      <c r="Y89" s="44">
        <f t="shared" ca="1" si="30"/>
        <v>5</v>
      </c>
    </row>
    <row r="90" spans="2:25" ht="10.5" hidden="1" customHeight="1">
      <c r="B90" s="16"/>
      <c r="C90" s="16"/>
      <c r="D90" s="16"/>
      <c r="E90" s="16"/>
      <c r="F90" s="16"/>
      <c r="G90" s="16"/>
      <c r="H90" s="16"/>
      <c r="I90" s="16"/>
      <c r="J90" s="16"/>
      <c r="K90" s="16"/>
      <c r="M90" s="59"/>
      <c r="N90" s="59"/>
      <c r="O90" s="59"/>
      <c r="P90" s="59"/>
      <c r="Q90" s="59"/>
      <c r="R90" s="59"/>
      <c r="S90" s="59"/>
      <c r="T90" s="59"/>
      <c r="U90" s="59"/>
      <c r="V90" s="59"/>
      <c r="W90" s="44" t="str">
        <f t="shared" ca="1" si="28"/>
        <v>2032</v>
      </c>
      <c r="X90" s="44" t="str">
        <f t="shared" ca="1" si="29"/>
        <v>06</v>
      </c>
      <c r="Y90" s="44">
        <f t="shared" ca="1" si="30"/>
        <v>5</v>
      </c>
    </row>
    <row r="91" spans="2:25" ht="10.5" hidden="1" customHeight="1">
      <c r="B91" s="16"/>
      <c r="C91" s="16"/>
      <c r="D91" s="16"/>
      <c r="E91" s="16"/>
      <c r="F91" s="16"/>
      <c r="G91" s="16"/>
      <c r="H91" s="16"/>
      <c r="I91" s="16"/>
      <c r="J91" s="16"/>
      <c r="K91" s="16"/>
      <c r="M91" s="59"/>
      <c r="N91" s="59"/>
      <c r="O91" s="59"/>
      <c r="P91" s="59"/>
      <c r="Q91" s="59"/>
      <c r="R91" s="59"/>
      <c r="S91" s="59"/>
      <c r="T91" s="59"/>
      <c r="U91" s="59"/>
      <c r="V91" s="59"/>
      <c r="W91" s="44" t="str">
        <f t="shared" ca="1" si="28"/>
        <v>2032</v>
      </c>
      <c r="X91" s="44" t="str">
        <f t="shared" ca="1" si="29"/>
        <v>07</v>
      </c>
      <c r="Y91" s="44">
        <f t="shared" ca="1" si="30"/>
        <v>5</v>
      </c>
    </row>
    <row r="92" spans="2:25" ht="10.5" hidden="1" customHeight="1">
      <c r="B92" s="16"/>
      <c r="C92" s="16"/>
      <c r="D92" s="16"/>
      <c r="E92" s="16"/>
      <c r="F92" s="16"/>
      <c r="G92" s="16"/>
      <c r="H92" s="16"/>
      <c r="I92" s="16"/>
      <c r="J92" s="16"/>
      <c r="K92" s="16"/>
      <c r="M92" s="59"/>
      <c r="N92" s="59"/>
      <c r="O92" s="59"/>
      <c r="P92" s="59"/>
      <c r="Q92" s="59"/>
      <c r="R92" s="59"/>
      <c r="S92" s="59"/>
      <c r="T92" s="59"/>
      <c r="U92" s="59"/>
      <c r="V92" s="59"/>
      <c r="W92" s="44" t="str">
        <f t="shared" ca="1" si="28"/>
        <v>2032</v>
      </c>
      <c r="X92" s="44" t="str">
        <f t="shared" ca="1" si="29"/>
        <v>08</v>
      </c>
      <c r="Y92" s="44">
        <f t="shared" ca="1" si="30"/>
        <v>5</v>
      </c>
    </row>
    <row r="93" spans="2:25" ht="10.5" hidden="1" customHeight="1">
      <c r="B93" s="16"/>
      <c r="C93" s="16"/>
      <c r="D93" s="16"/>
      <c r="E93" s="16"/>
      <c r="F93" s="16"/>
      <c r="G93" s="16"/>
      <c r="H93" s="16"/>
      <c r="I93" s="16"/>
      <c r="J93" s="16"/>
      <c r="K93" s="16"/>
      <c r="M93" s="59"/>
      <c r="N93" s="59"/>
      <c r="O93" s="59"/>
      <c r="P93" s="59"/>
      <c r="Q93" s="59"/>
      <c r="R93" s="59"/>
      <c r="S93" s="59"/>
      <c r="T93" s="59"/>
      <c r="U93" s="59"/>
      <c r="V93" s="59"/>
      <c r="W93" s="44" t="str">
        <f t="shared" ca="1" si="28"/>
        <v>2032</v>
      </c>
      <c r="X93" s="44" t="str">
        <f t="shared" ca="1" si="29"/>
        <v>09</v>
      </c>
      <c r="Y93" s="44">
        <f t="shared" ca="1" si="30"/>
        <v>5</v>
      </c>
    </row>
    <row r="94" spans="2:25" ht="10.5" hidden="1" customHeight="1">
      <c r="B94" s="16"/>
      <c r="C94" s="38"/>
      <c r="D94" s="16"/>
      <c r="E94" s="16"/>
      <c r="F94" s="16"/>
      <c r="G94" s="16"/>
      <c r="H94" s="16"/>
      <c r="I94" s="16"/>
      <c r="J94" s="16"/>
      <c r="K94" s="16"/>
      <c r="M94" s="59"/>
      <c r="N94" s="59"/>
      <c r="O94" s="59"/>
      <c r="P94" s="59"/>
      <c r="Q94" s="59"/>
      <c r="R94" s="59"/>
      <c r="S94" s="59"/>
      <c r="T94" s="59"/>
      <c r="U94" s="59"/>
      <c r="V94" s="59"/>
      <c r="W94" s="59"/>
      <c r="X94" s="59"/>
      <c r="Y94" s="59"/>
    </row>
    <row r="95" spans="2:25" ht="10.5" hidden="1" customHeight="1">
      <c r="B95" s="16"/>
      <c r="C95" s="16"/>
      <c r="D95" s="16"/>
      <c r="E95" s="16"/>
      <c r="F95" s="16"/>
      <c r="G95" s="16"/>
      <c r="H95" s="16"/>
      <c r="I95" s="16"/>
      <c r="J95" s="16"/>
      <c r="K95" s="16"/>
      <c r="M95" s="59"/>
      <c r="N95" s="59"/>
      <c r="O95" s="59"/>
      <c r="P95" s="59"/>
      <c r="Q95" s="59"/>
      <c r="R95" s="59"/>
      <c r="S95" s="59"/>
      <c r="T95" s="59"/>
      <c r="U95" s="59"/>
      <c r="V95" s="59"/>
      <c r="W95" s="59"/>
      <c r="X95" s="59"/>
      <c r="Y95" s="59"/>
    </row>
    <row r="96" spans="2:25" ht="10.5" hidden="1" customHeight="1">
      <c r="B96" s="16"/>
      <c r="C96" s="16"/>
      <c r="D96" s="40"/>
      <c r="E96" s="16"/>
      <c r="F96" s="16"/>
      <c r="G96" s="16"/>
      <c r="H96" s="16"/>
      <c r="I96" s="16"/>
      <c r="J96" s="16"/>
      <c r="K96" s="16"/>
      <c r="M96" s="59"/>
      <c r="N96" s="59"/>
      <c r="O96" s="59"/>
      <c r="P96" s="59"/>
      <c r="Q96" s="59"/>
      <c r="R96" s="59"/>
      <c r="S96" s="59"/>
      <c r="T96" s="59"/>
    </row>
    <row r="97" spans="2:20" ht="10.5" hidden="1" customHeight="1">
      <c r="B97" s="16"/>
      <c r="C97" s="16"/>
      <c r="D97" s="16"/>
      <c r="E97" s="16"/>
      <c r="F97" s="16"/>
      <c r="G97" s="16"/>
      <c r="H97" s="16"/>
      <c r="I97" s="16"/>
      <c r="J97" s="16"/>
      <c r="K97" s="16"/>
      <c r="M97" s="59"/>
      <c r="N97" s="59"/>
      <c r="O97" s="59"/>
      <c r="P97" s="59"/>
      <c r="Q97" s="59"/>
      <c r="R97" s="59"/>
      <c r="S97" s="59"/>
      <c r="T97" s="59"/>
    </row>
    <row r="98" spans="2:20" ht="10.5" hidden="1" customHeight="1">
      <c r="B98" s="16"/>
      <c r="C98" s="16"/>
      <c r="D98" s="16"/>
      <c r="E98" s="16"/>
      <c r="F98" s="16"/>
      <c r="G98" s="16"/>
      <c r="H98" s="16"/>
      <c r="I98" s="16"/>
      <c r="J98" s="16"/>
      <c r="K98" s="16"/>
      <c r="M98" s="59"/>
      <c r="N98" s="59"/>
      <c r="O98" s="59"/>
      <c r="P98" s="59"/>
      <c r="Q98" s="59"/>
      <c r="R98" s="59"/>
      <c r="S98" s="59"/>
      <c r="T98" s="59"/>
    </row>
    <row r="99" spans="2:20" ht="10.5" hidden="1" customHeight="1">
      <c r="B99" s="16"/>
      <c r="C99" s="16"/>
      <c r="D99" s="16"/>
      <c r="E99" s="16"/>
      <c r="F99" s="16"/>
      <c r="G99" s="16"/>
      <c r="H99" s="16"/>
      <c r="I99" s="16"/>
      <c r="J99" s="16"/>
      <c r="K99" s="16"/>
      <c r="M99" s="59"/>
      <c r="N99" s="59"/>
      <c r="O99" s="59"/>
      <c r="P99" s="59"/>
      <c r="Q99" s="59"/>
      <c r="R99" s="59"/>
      <c r="S99" s="59"/>
      <c r="T99" s="59"/>
    </row>
    <row r="100" spans="2:20" ht="10.5" hidden="1" customHeight="1">
      <c r="B100" s="16"/>
      <c r="C100" s="16"/>
      <c r="D100" s="16"/>
      <c r="E100" s="16"/>
      <c r="F100" s="16"/>
      <c r="G100" s="16"/>
      <c r="H100" s="16"/>
      <c r="I100" s="16"/>
      <c r="J100" s="16"/>
      <c r="K100" s="16"/>
      <c r="M100" s="59"/>
      <c r="N100" s="59"/>
      <c r="O100" s="59"/>
      <c r="P100" s="59"/>
      <c r="Q100" s="59"/>
      <c r="R100" s="59"/>
      <c r="S100" s="59"/>
      <c r="T100" s="59"/>
    </row>
    <row r="101" spans="2:20" ht="10.5" hidden="1" customHeight="1">
      <c r="B101" s="16"/>
      <c r="C101" s="16"/>
      <c r="D101" s="16"/>
      <c r="E101" s="16"/>
      <c r="F101" s="16"/>
      <c r="G101" s="16"/>
      <c r="H101" s="16"/>
      <c r="I101" s="16"/>
      <c r="J101" s="16"/>
      <c r="K101" s="16"/>
      <c r="M101" s="59"/>
      <c r="N101" s="59"/>
      <c r="O101" s="59"/>
      <c r="P101" s="59"/>
      <c r="Q101" s="59"/>
      <c r="R101" s="59"/>
      <c r="S101" s="59"/>
      <c r="T101" s="59"/>
    </row>
    <row r="102" spans="2:20" ht="10.5" hidden="1" customHeight="1">
      <c r="B102" s="16"/>
      <c r="C102" s="16"/>
      <c r="D102" s="16"/>
      <c r="E102" s="16"/>
      <c r="F102" s="16"/>
      <c r="G102" s="16"/>
      <c r="H102" s="16"/>
      <c r="I102" s="16"/>
      <c r="J102" s="16"/>
      <c r="K102" s="16"/>
      <c r="M102" s="59"/>
      <c r="N102" s="59"/>
      <c r="O102" s="59"/>
      <c r="P102" s="59"/>
      <c r="Q102" s="59"/>
      <c r="R102" s="59"/>
      <c r="S102" s="59"/>
      <c r="T102" s="59"/>
    </row>
    <row r="103" spans="2:20" ht="10.5" hidden="1" customHeight="1">
      <c r="B103" s="16"/>
      <c r="C103" s="16"/>
      <c r="D103" s="16"/>
      <c r="E103" s="16"/>
      <c r="F103" s="16"/>
      <c r="G103" s="16"/>
      <c r="H103" s="16"/>
      <c r="I103" s="16"/>
      <c r="J103" s="16"/>
      <c r="K103" s="16"/>
      <c r="M103" s="59"/>
      <c r="N103" s="59"/>
      <c r="O103" s="59"/>
      <c r="P103" s="59"/>
      <c r="Q103" s="59"/>
      <c r="R103" s="59"/>
      <c r="S103" s="59"/>
      <c r="T103" s="59"/>
    </row>
    <row r="104" spans="2:20" ht="10.5" hidden="1" customHeight="1">
      <c r="B104" s="16"/>
      <c r="C104" s="16"/>
      <c r="D104" s="16"/>
      <c r="E104" s="16"/>
      <c r="F104" s="16"/>
      <c r="G104" s="16"/>
      <c r="H104" s="16"/>
      <c r="I104" s="16"/>
      <c r="J104" s="16"/>
      <c r="K104" s="16"/>
      <c r="M104" s="59"/>
      <c r="N104" s="59"/>
      <c r="O104" s="59"/>
      <c r="P104" s="59"/>
      <c r="Q104" s="59"/>
      <c r="R104" s="59"/>
      <c r="S104" s="59"/>
      <c r="T104" s="59"/>
    </row>
    <row r="105" spans="2:20" ht="10.5" hidden="1" customHeight="1">
      <c r="B105" s="16"/>
      <c r="C105" s="16"/>
      <c r="D105" s="16"/>
      <c r="E105" s="16"/>
      <c r="F105" s="16"/>
      <c r="G105" s="16"/>
      <c r="H105" s="16"/>
      <c r="I105" s="16"/>
      <c r="J105" s="16"/>
      <c r="K105" s="16"/>
      <c r="M105" s="59"/>
      <c r="N105" s="59"/>
      <c r="O105" s="59"/>
      <c r="P105" s="59"/>
      <c r="Q105" s="59"/>
      <c r="R105" s="59"/>
      <c r="S105" s="59"/>
      <c r="T105" s="59"/>
    </row>
    <row r="106" spans="2:20" ht="10.5" hidden="1" customHeight="1">
      <c r="B106" s="16"/>
      <c r="C106" s="16"/>
      <c r="D106" s="16"/>
      <c r="E106" s="16"/>
      <c r="F106" s="16"/>
      <c r="G106" s="16"/>
      <c r="H106" s="16"/>
      <c r="I106" s="16"/>
      <c r="J106" s="16"/>
      <c r="K106" s="16"/>
      <c r="M106" s="59"/>
      <c r="N106" s="59"/>
      <c r="O106" s="59"/>
      <c r="P106" s="59"/>
      <c r="Q106" s="59"/>
      <c r="R106" s="59"/>
      <c r="S106" s="59"/>
      <c r="T106" s="59"/>
    </row>
    <row r="107" spans="2:20" ht="10.5" hidden="1" customHeight="1">
      <c r="B107" s="16"/>
      <c r="C107" s="16"/>
      <c r="D107" s="16"/>
      <c r="E107" s="16"/>
      <c r="F107" s="16"/>
      <c r="G107" s="16"/>
      <c r="H107" s="16"/>
      <c r="I107" s="16"/>
      <c r="J107" s="16"/>
      <c r="K107" s="16"/>
      <c r="M107" s="59"/>
      <c r="N107" s="59"/>
      <c r="O107" s="59"/>
      <c r="P107" s="59"/>
      <c r="Q107" s="59"/>
      <c r="R107" s="59"/>
      <c r="S107" s="59"/>
      <c r="T107" s="59"/>
    </row>
    <row r="108" spans="2:20" ht="10.5" hidden="1" customHeight="1">
      <c r="B108" s="16"/>
      <c r="C108" s="16"/>
      <c r="D108" s="16"/>
      <c r="E108" s="16"/>
      <c r="F108" s="16"/>
      <c r="G108" s="16"/>
      <c r="H108" s="16"/>
      <c r="I108" s="16"/>
      <c r="J108" s="16"/>
      <c r="K108" s="16"/>
      <c r="M108" s="59"/>
      <c r="N108" s="59"/>
      <c r="O108" s="59"/>
      <c r="P108" s="59"/>
      <c r="Q108" s="59"/>
      <c r="R108" s="59"/>
      <c r="S108" s="59"/>
      <c r="T108" s="59"/>
    </row>
    <row r="109" spans="2:20" ht="10.5" hidden="1" customHeight="1">
      <c r="B109" s="16"/>
      <c r="C109" s="16"/>
      <c r="D109" s="16"/>
      <c r="E109" s="16"/>
      <c r="F109" s="16"/>
      <c r="G109" s="16"/>
      <c r="H109" s="16"/>
      <c r="I109" s="16"/>
      <c r="J109" s="16"/>
      <c r="K109" s="16"/>
      <c r="M109" s="59"/>
      <c r="N109" s="59"/>
      <c r="O109" s="59"/>
      <c r="P109" s="59"/>
      <c r="Q109" s="59"/>
      <c r="R109" s="59"/>
      <c r="S109" s="59"/>
      <c r="T109" s="59"/>
    </row>
    <row r="110" spans="2:20" ht="10.5" hidden="1" customHeight="1">
      <c r="B110" s="16"/>
      <c r="C110" s="16"/>
      <c r="D110" s="16"/>
      <c r="E110" s="16"/>
      <c r="F110" s="20"/>
      <c r="G110" s="20"/>
      <c r="H110" s="20"/>
      <c r="I110" s="16"/>
      <c r="J110" s="16"/>
      <c r="K110" s="16"/>
      <c r="M110" s="59"/>
      <c r="N110" s="59"/>
      <c r="O110" s="59"/>
      <c r="P110" s="59"/>
      <c r="Q110" s="59"/>
      <c r="R110" s="59"/>
      <c r="S110" s="59"/>
      <c r="T110" s="59"/>
    </row>
    <row r="111" spans="2:20" ht="10.5" hidden="1" customHeight="1">
      <c r="B111" s="16"/>
      <c r="C111" s="16"/>
      <c r="D111" s="16"/>
      <c r="E111" s="16"/>
      <c r="F111" s="20"/>
      <c r="G111" s="20"/>
      <c r="H111" s="20"/>
      <c r="I111" s="16"/>
      <c r="J111" s="16"/>
      <c r="K111" s="16"/>
      <c r="M111" s="59"/>
      <c r="N111" s="59"/>
      <c r="O111" s="59"/>
      <c r="P111" s="59"/>
      <c r="Q111" s="59"/>
      <c r="R111" s="59"/>
      <c r="S111" s="59"/>
      <c r="T111" s="59"/>
    </row>
    <row r="112" spans="2:20" ht="10.5" hidden="1" customHeight="1">
      <c r="B112" s="16"/>
      <c r="C112" s="16"/>
      <c r="D112" s="16"/>
      <c r="E112" s="16"/>
      <c r="F112" s="20"/>
      <c r="G112" s="20"/>
      <c r="H112" s="20"/>
      <c r="I112" s="16"/>
      <c r="J112" s="16"/>
      <c r="K112" s="16"/>
      <c r="M112" s="59"/>
      <c r="N112" s="59"/>
      <c r="O112" s="59"/>
      <c r="P112" s="59"/>
      <c r="Q112" s="59"/>
      <c r="R112" s="59"/>
      <c r="S112" s="59"/>
      <c r="T112" s="59"/>
    </row>
    <row r="113" spans="2:20" ht="10.5" hidden="1" customHeight="1">
      <c r="B113" s="16"/>
      <c r="C113" s="16"/>
      <c r="D113" s="16"/>
      <c r="E113" s="16"/>
      <c r="F113" s="20"/>
      <c r="G113" s="20"/>
      <c r="H113" s="20"/>
      <c r="I113" s="16"/>
      <c r="J113" s="16"/>
      <c r="K113" s="16"/>
      <c r="M113" s="59"/>
      <c r="N113" s="59"/>
      <c r="O113" s="59"/>
      <c r="P113" s="59"/>
      <c r="Q113" s="59"/>
      <c r="R113" s="59"/>
      <c r="S113" s="59"/>
      <c r="T113" s="59"/>
    </row>
    <row r="114" spans="2:20" ht="10.5" hidden="1" customHeight="1">
      <c r="B114" s="16"/>
      <c r="C114" s="16"/>
      <c r="D114" s="16"/>
      <c r="E114" s="16"/>
      <c r="F114" s="20"/>
      <c r="G114" s="20"/>
      <c r="H114" s="20"/>
      <c r="I114" s="16"/>
      <c r="J114" s="16"/>
      <c r="K114" s="16"/>
      <c r="M114" s="59"/>
      <c r="N114" s="59"/>
      <c r="O114" s="59"/>
      <c r="P114" s="59"/>
      <c r="Q114" s="59"/>
      <c r="R114" s="59"/>
      <c r="S114" s="59"/>
      <c r="T114" s="59"/>
    </row>
    <row r="115" spans="2:20" ht="10.5" hidden="1" customHeight="1">
      <c r="B115" s="16"/>
      <c r="C115" s="16"/>
      <c r="D115" s="16"/>
      <c r="E115" s="2"/>
      <c r="F115" s="2"/>
      <c r="G115" s="2"/>
      <c r="H115" s="2"/>
      <c r="I115" s="2"/>
      <c r="J115" s="2"/>
      <c r="K115" s="16"/>
      <c r="M115" s="59"/>
      <c r="N115" s="59"/>
      <c r="O115" s="59"/>
      <c r="P115" s="59"/>
      <c r="Q115" s="59"/>
      <c r="R115" s="59"/>
      <c r="S115" s="59"/>
      <c r="T115" s="59"/>
    </row>
    <row r="116" spans="2:20" ht="10.5" hidden="1" customHeight="1">
      <c r="B116" s="16"/>
      <c r="C116" s="16"/>
      <c r="D116" s="16"/>
      <c r="E116" s="2"/>
      <c r="F116" s="2"/>
      <c r="G116" s="2"/>
      <c r="H116" s="2"/>
      <c r="I116" s="2"/>
      <c r="J116" s="2"/>
      <c r="K116" s="16"/>
      <c r="M116" s="59"/>
      <c r="N116" s="59"/>
      <c r="O116" s="59"/>
      <c r="P116" s="59"/>
      <c r="Q116" s="59"/>
      <c r="R116" s="59"/>
      <c r="S116" s="59"/>
      <c r="T116" s="59"/>
    </row>
    <row r="117" spans="2:20" ht="10.5" hidden="1" customHeight="1">
      <c r="B117" s="16"/>
      <c r="C117" s="16"/>
      <c r="D117" s="16"/>
      <c r="E117" s="2"/>
      <c r="F117" s="41"/>
      <c r="G117" s="2"/>
      <c r="H117" s="2"/>
      <c r="I117" s="2"/>
      <c r="J117" s="2"/>
      <c r="K117" s="16"/>
      <c r="M117" s="59"/>
      <c r="N117" s="59"/>
      <c r="O117" s="59"/>
      <c r="P117" s="59"/>
      <c r="Q117" s="59"/>
      <c r="R117" s="59"/>
      <c r="S117" s="59"/>
      <c r="T117" s="59"/>
    </row>
    <row r="118" spans="2:20" ht="10.5" hidden="1" customHeight="1">
      <c r="B118" s="16"/>
      <c r="C118" s="16"/>
      <c r="D118" s="16"/>
      <c r="E118" s="2"/>
      <c r="F118" s="9"/>
      <c r="G118" s="9"/>
      <c r="H118" s="15"/>
      <c r="I118" s="2"/>
      <c r="J118" s="2"/>
      <c r="K118" s="16"/>
      <c r="M118" s="59"/>
      <c r="N118" s="59"/>
      <c r="O118" s="59"/>
      <c r="P118" s="59"/>
      <c r="Q118" s="59"/>
      <c r="R118" s="59"/>
      <c r="S118" s="59"/>
      <c r="T118" s="59"/>
    </row>
    <row r="119" spans="2:20" ht="10.5" hidden="1" customHeight="1">
      <c r="B119" s="16"/>
      <c r="C119" s="16"/>
      <c r="D119" s="16"/>
      <c r="E119" s="2"/>
      <c r="F119" s="9"/>
      <c r="G119" s="9"/>
      <c r="H119" s="15"/>
      <c r="I119" s="2"/>
      <c r="J119" s="2"/>
      <c r="K119" s="16"/>
      <c r="M119" s="59"/>
      <c r="N119" s="59"/>
      <c r="O119" s="59"/>
      <c r="P119" s="59"/>
      <c r="Q119" s="59"/>
      <c r="R119" s="59"/>
      <c r="S119" s="59"/>
      <c r="T119" s="59"/>
    </row>
    <row r="120" spans="2:20" ht="10.5" hidden="1" customHeight="1">
      <c r="B120" s="16"/>
      <c r="C120" s="16"/>
      <c r="D120" s="16"/>
      <c r="E120" s="2"/>
      <c r="F120" s="9"/>
      <c r="G120" s="9"/>
      <c r="H120" s="15"/>
      <c r="I120" s="2"/>
      <c r="J120" s="2"/>
      <c r="K120" s="16"/>
      <c r="M120" s="59"/>
      <c r="N120" s="59"/>
      <c r="O120" s="59"/>
      <c r="P120" s="59"/>
      <c r="Q120" s="59"/>
      <c r="R120" s="59"/>
      <c r="S120" s="59"/>
      <c r="T120" s="59"/>
    </row>
    <row r="121" spans="2:20" ht="10.5" hidden="1" customHeight="1">
      <c r="B121" s="16"/>
      <c r="C121" s="37"/>
      <c r="D121" s="16"/>
      <c r="E121" s="2"/>
      <c r="F121" s="9"/>
      <c r="G121" s="9"/>
      <c r="H121" s="15"/>
      <c r="I121" s="2"/>
      <c r="J121" s="2"/>
      <c r="K121" s="16"/>
      <c r="M121" s="59"/>
      <c r="N121" s="59"/>
      <c r="O121" s="59"/>
      <c r="P121" s="59"/>
      <c r="Q121" s="59"/>
      <c r="R121" s="59"/>
      <c r="S121" s="59"/>
      <c r="T121" s="59"/>
    </row>
    <row r="122" spans="2:20" ht="10.5" hidden="1" customHeight="1">
      <c r="B122" s="16"/>
      <c r="C122" s="16"/>
      <c r="D122" s="16"/>
      <c r="E122" s="2"/>
      <c r="F122" s="9"/>
      <c r="G122" s="9"/>
      <c r="H122" s="15"/>
      <c r="I122" s="2"/>
      <c r="J122" s="2"/>
      <c r="K122" s="16"/>
      <c r="M122" s="59"/>
      <c r="N122" s="59"/>
      <c r="O122" s="59"/>
      <c r="P122" s="59"/>
      <c r="Q122" s="59"/>
      <c r="R122" s="59"/>
      <c r="S122" s="59"/>
      <c r="T122" s="59"/>
    </row>
    <row r="123" spans="2:20" ht="10.5" hidden="1" customHeight="1">
      <c r="B123" s="16"/>
      <c r="C123" s="16"/>
      <c r="D123" s="40"/>
      <c r="E123" s="2"/>
      <c r="F123" s="9"/>
      <c r="G123" s="9"/>
      <c r="H123" s="15"/>
      <c r="I123" s="2"/>
      <c r="J123" s="2"/>
      <c r="K123" s="16"/>
      <c r="M123" s="59"/>
      <c r="N123" s="59"/>
      <c r="O123" s="59"/>
      <c r="P123" s="59"/>
      <c r="Q123" s="59"/>
      <c r="R123" s="59"/>
      <c r="S123" s="59"/>
      <c r="T123" s="59"/>
    </row>
    <row r="124" spans="2:20" ht="10.5" hidden="1" customHeight="1">
      <c r="B124" s="16"/>
      <c r="C124" s="16"/>
      <c r="D124" s="16"/>
      <c r="E124" s="2"/>
      <c r="F124" s="42"/>
      <c r="G124" s="2"/>
      <c r="H124" s="2"/>
      <c r="I124" s="2"/>
      <c r="J124" s="2"/>
      <c r="K124" s="16"/>
      <c r="M124" s="59"/>
      <c r="N124" s="59"/>
      <c r="O124" s="59"/>
      <c r="P124" s="59"/>
      <c r="Q124" s="59"/>
      <c r="R124" s="59"/>
      <c r="S124" s="59"/>
      <c r="T124" s="59"/>
    </row>
    <row r="125" spans="2:20" ht="10.5" hidden="1" customHeight="1">
      <c r="B125" s="16"/>
      <c r="C125" s="16"/>
      <c r="D125" s="16"/>
      <c r="E125" s="2"/>
      <c r="F125" s="2"/>
      <c r="G125" s="2"/>
      <c r="H125" s="2"/>
      <c r="I125" s="2"/>
      <c r="J125" s="2"/>
      <c r="K125" s="16"/>
      <c r="M125" s="59"/>
      <c r="N125" s="59"/>
      <c r="O125" s="59"/>
      <c r="P125" s="59"/>
      <c r="Q125" s="59"/>
      <c r="R125" s="59"/>
      <c r="S125" s="59"/>
      <c r="T125" s="59"/>
    </row>
    <row r="126" spans="2:20" ht="10.5" hidden="1" customHeight="1">
      <c r="B126" s="16"/>
      <c r="C126" s="16"/>
      <c r="D126" s="16"/>
      <c r="E126" s="2"/>
      <c r="F126" s="2"/>
      <c r="G126" s="2"/>
      <c r="H126" s="2"/>
      <c r="I126" s="2"/>
      <c r="J126" s="2"/>
      <c r="K126" s="16"/>
      <c r="M126" s="59"/>
      <c r="N126" s="59"/>
      <c r="O126" s="59"/>
      <c r="P126" s="59"/>
      <c r="Q126" s="59"/>
      <c r="R126" s="59"/>
      <c r="S126" s="59"/>
      <c r="T126" s="59"/>
    </row>
    <row r="127" spans="2:20" ht="10.5" hidden="1" customHeight="1">
      <c r="B127" s="16"/>
      <c r="C127" s="16"/>
      <c r="D127" s="16"/>
      <c r="E127" s="2"/>
      <c r="F127" s="2"/>
      <c r="G127" s="2"/>
      <c r="H127" s="2"/>
      <c r="I127" s="2"/>
      <c r="J127" s="17"/>
      <c r="K127" s="20"/>
      <c r="L127" s="64"/>
      <c r="M127" s="59"/>
      <c r="N127" s="59"/>
      <c r="O127" s="59"/>
      <c r="P127" s="59"/>
      <c r="Q127" s="59"/>
      <c r="R127" s="59"/>
      <c r="S127" s="59"/>
      <c r="T127" s="59"/>
    </row>
    <row r="128" spans="2:20" ht="10.5" hidden="1" customHeight="1">
      <c r="B128" s="16"/>
      <c r="C128" s="16"/>
      <c r="D128" s="16"/>
      <c r="E128" s="2"/>
      <c r="F128" s="2"/>
      <c r="G128" s="2"/>
      <c r="H128" s="2"/>
      <c r="I128" s="2"/>
      <c r="J128" s="17"/>
      <c r="K128" s="20"/>
      <c r="L128" s="64"/>
      <c r="M128" s="59"/>
      <c r="N128" s="59"/>
      <c r="O128" s="59"/>
      <c r="P128" s="59"/>
      <c r="Q128" s="59"/>
      <c r="R128" s="59"/>
      <c r="S128" s="59"/>
      <c r="T128" s="59"/>
    </row>
    <row r="129" spans="2:20" ht="10.5" hidden="1" customHeight="1">
      <c r="B129" s="16"/>
      <c r="C129" s="37"/>
      <c r="D129" s="16"/>
      <c r="E129" s="2"/>
      <c r="F129" s="2"/>
      <c r="G129" s="2"/>
      <c r="H129" s="2"/>
      <c r="I129" s="2"/>
      <c r="J129" s="17"/>
      <c r="K129" s="20"/>
      <c r="L129" s="64"/>
      <c r="M129" s="59"/>
      <c r="N129" s="59"/>
      <c r="O129" s="59"/>
      <c r="P129" s="59"/>
      <c r="Q129" s="59"/>
      <c r="R129" s="59"/>
      <c r="S129" s="59"/>
      <c r="T129" s="59"/>
    </row>
    <row r="130" spans="2:20" ht="10.5" hidden="1" customHeight="1">
      <c r="B130" s="16"/>
      <c r="C130" s="16"/>
      <c r="D130" s="16"/>
      <c r="E130" s="2"/>
      <c r="F130" s="39"/>
      <c r="G130" s="2"/>
      <c r="H130" s="2"/>
      <c r="I130" s="2"/>
      <c r="J130" s="17"/>
      <c r="K130" s="20"/>
      <c r="L130" s="64"/>
      <c r="M130" s="59"/>
      <c r="N130" s="59"/>
      <c r="O130" s="59"/>
      <c r="P130" s="59"/>
      <c r="Q130" s="59"/>
      <c r="R130" s="59"/>
      <c r="S130" s="59"/>
      <c r="T130" s="59"/>
    </row>
    <row r="131" spans="2:20" ht="10.5" hidden="1" customHeight="1">
      <c r="B131" s="16"/>
      <c r="C131" s="16"/>
      <c r="D131" s="16"/>
      <c r="E131" s="2"/>
      <c r="F131" s="41"/>
      <c r="G131" s="2"/>
      <c r="H131" s="2"/>
      <c r="I131" s="2"/>
      <c r="J131" s="17"/>
      <c r="K131" s="20"/>
      <c r="L131" s="64"/>
      <c r="M131" s="59"/>
      <c r="N131" s="59"/>
      <c r="O131" s="59"/>
      <c r="P131" s="59"/>
      <c r="Q131" s="59"/>
      <c r="R131" s="59"/>
      <c r="S131" s="59"/>
      <c r="T131" s="59"/>
    </row>
    <row r="132" spans="2:20" ht="10.5" hidden="1" customHeight="1">
      <c r="B132" s="16"/>
      <c r="C132" s="16"/>
      <c r="D132" s="16"/>
      <c r="E132" s="2"/>
      <c r="F132" s="2"/>
      <c r="G132" s="2"/>
      <c r="H132" s="2"/>
      <c r="I132" s="2"/>
      <c r="J132" s="17"/>
      <c r="K132" s="20"/>
      <c r="L132" s="64"/>
      <c r="M132" s="59"/>
      <c r="N132" s="59"/>
      <c r="O132" s="59"/>
      <c r="P132" s="59"/>
      <c r="Q132" s="59"/>
      <c r="R132" s="59"/>
      <c r="S132" s="59"/>
      <c r="T132" s="59"/>
    </row>
    <row r="133" spans="2:20" ht="10.5" hidden="1" customHeight="1">
      <c r="B133" s="16"/>
      <c r="C133" s="16"/>
      <c r="D133" s="16"/>
      <c r="E133" s="2"/>
      <c r="F133" s="9"/>
      <c r="G133" s="2"/>
      <c r="H133" s="2"/>
      <c r="I133" s="2"/>
      <c r="J133" s="17"/>
      <c r="K133" s="20"/>
      <c r="L133" s="67"/>
      <c r="M133" s="59"/>
      <c r="N133" s="59"/>
      <c r="O133" s="59"/>
      <c r="P133" s="59"/>
      <c r="Q133" s="59"/>
      <c r="R133" s="59"/>
      <c r="S133" s="59"/>
      <c r="T133" s="59"/>
    </row>
    <row r="134" spans="2:20" ht="10.5" hidden="1" customHeight="1">
      <c r="B134" s="16"/>
      <c r="C134" s="16"/>
      <c r="D134" s="16"/>
      <c r="E134" s="2"/>
      <c r="F134" s="9"/>
      <c r="G134" s="2"/>
      <c r="H134" s="2"/>
      <c r="I134" s="2"/>
      <c r="J134" s="2"/>
      <c r="K134" s="16"/>
      <c r="M134" s="59"/>
      <c r="N134" s="59"/>
      <c r="O134" s="59"/>
      <c r="P134" s="59"/>
      <c r="Q134" s="59"/>
      <c r="R134" s="59"/>
      <c r="S134" s="59"/>
      <c r="T134" s="59"/>
    </row>
    <row r="135" spans="2:20" ht="10.5" hidden="1" customHeight="1">
      <c r="B135" s="16"/>
      <c r="C135" s="16"/>
      <c r="D135" s="16"/>
      <c r="E135" s="2"/>
      <c r="F135" s="9"/>
      <c r="G135" s="2"/>
      <c r="H135" s="2"/>
      <c r="I135" s="2"/>
      <c r="J135" s="2"/>
      <c r="K135" s="16"/>
      <c r="M135" s="59"/>
      <c r="N135" s="59"/>
      <c r="O135" s="59"/>
      <c r="P135" s="59"/>
      <c r="Q135" s="59"/>
      <c r="R135" s="59"/>
      <c r="S135" s="59"/>
      <c r="T135" s="59"/>
    </row>
    <row r="136" spans="2:20" ht="10.5" hidden="1" customHeight="1">
      <c r="B136" s="16"/>
      <c r="C136" s="16"/>
      <c r="D136" s="16"/>
      <c r="E136" s="2"/>
      <c r="F136" s="9"/>
      <c r="G136" s="2"/>
      <c r="H136" s="2"/>
      <c r="I136" s="2"/>
      <c r="J136" s="17"/>
      <c r="K136" s="20"/>
      <c r="L136" s="64"/>
      <c r="M136" s="64"/>
      <c r="N136" s="59"/>
      <c r="O136" s="59"/>
      <c r="P136" s="59"/>
      <c r="Q136" s="59"/>
      <c r="R136" s="59"/>
      <c r="S136" s="59"/>
      <c r="T136" s="59"/>
    </row>
    <row r="137" spans="2:20" ht="10.5" hidden="1" customHeight="1">
      <c r="B137" s="16"/>
      <c r="C137" s="16"/>
      <c r="D137" s="16"/>
      <c r="E137" s="2"/>
      <c r="F137" s="9"/>
      <c r="G137" s="2"/>
      <c r="H137" s="2"/>
      <c r="I137" s="2"/>
      <c r="J137" s="17"/>
      <c r="K137" s="20"/>
      <c r="L137" s="64"/>
      <c r="M137" s="64"/>
      <c r="N137" s="59"/>
      <c r="O137" s="59"/>
      <c r="P137" s="59"/>
      <c r="Q137" s="59"/>
      <c r="R137" s="59"/>
      <c r="S137" s="59"/>
      <c r="T137" s="59"/>
    </row>
    <row r="138" spans="2:20" ht="10.5" hidden="1" customHeight="1">
      <c r="B138" s="16"/>
      <c r="C138" s="16"/>
      <c r="D138" s="16"/>
      <c r="E138" s="2"/>
      <c r="F138" s="2"/>
      <c r="G138" s="2"/>
      <c r="H138" s="2"/>
      <c r="I138" s="2"/>
      <c r="J138" s="17"/>
      <c r="K138" s="20"/>
      <c r="L138" s="64"/>
      <c r="M138" s="64"/>
      <c r="N138" s="59"/>
      <c r="O138" s="59"/>
      <c r="P138" s="59"/>
      <c r="Q138" s="59"/>
      <c r="R138" s="59"/>
      <c r="S138" s="59"/>
      <c r="T138" s="59"/>
    </row>
    <row r="139" spans="2:20" ht="10.5" hidden="1" customHeight="1">
      <c r="B139" s="16"/>
      <c r="C139" s="16"/>
      <c r="D139" s="16"/>
      <c r="E139" s="2"/>
      <c r="F139" s="2"/>
      <c r="G139" s="2"/>
      <c r="H139" s="2"/>
      <c r="I139" s="2"/>
      <c r="J139" s="17"/>
      <c r="K139" s="20"/>
      <c r="L139" s="64"/>
      <c r="M139" s="64"/>
      <c r="N139" s="59"/>
      <c r="O139" s="59"/>
      <c r="P139" s="59"/>
      <c r="Q139" s="59"/>
      <c r="R139" s="59"/>
      <c r="S139" s="59"/>
      <c r="T139" s="59"/>
    </row>
    <row r="140" spans="2:20" ht="10.5" hidden="1" customHeight="1">
      <c r="B140" s="16"/>
      <c r="C140" s="16"/>
      <c r="D140" s="16"/>
      <c r="E140" s="2"/>
      <c r="F140" s="2"/>
      <c r="G140" s="2"/>
      <c r="H140" s="2"/>
      <c r="I140" s="2"/>
      <c r="J140" s="17"/>
      <c r="K140" s="20"/>
      <c r="L140" s="64"/>
      <c r="M140" s="64"/>
      <c r="N140" s="59"/>
      <c r="O140" s="59"/>
      <c r="P140" s="59"/>
      <c r="Q140" s="59"/>
      <c r="R140" s="59"/>
      <c r="S140" s="59"/>
      <c r="T140" s="59"/>
    </row>
    <row r="141" spans="2:20" ht="10.5" hidden="1" customHeight="1">
      <c r="B141" s="16"/>
      <c r="C141" s="16"/>
      <c r="D141" s="16"/>
      <c r="E141" s="2"/>
      <c r="F141" s="2"/>
      <c r="G141" s="2"/>
      <c r="H141" s="2"/>
      <c r="I141" s="2"/>
      <c r="J141" s="17"/>
      <c r="K141" s="20"/>
      <c r="L141" s="64"/>
      <c r="M141" s="64"/>
      <c r="N141" s="59"/>
      <c r="O141" s="59"/>
      <c r="P141" s="59"/>
      <c r="Q141" s="59"/>
      <c r="R141" s="59"/>
      <c r="S141" s="59"/>
      <c r="T141" s="59"/>
    </row>
    <row r="142" spans="2:20" ht="10.5" hidden="1" customHeight="1">
      <c r="B142" s="16"/>
      <c r="C142" s="16"/>
      <c r="D142" s="16"/>
      <c r="E142" s="2"/>
      <c r="F142" s="2"/>
      <c r="G142" s="2"/>
      <c r="H142" s="2"/>
      <c r="I142" s="2"/>
      <c r="J142" s="17"/>
      <c r="K142" s="20"/>
      <c r="L142" s="64"/>
      <c r="M142" s="64"/>
      <c r="N142" s="59"/>
      <c r="O142" s="59"/>
      <c r="P142" s="59"/>
      <c r="Q142" s="59"/>
      <c r="R142" s="59"/>
      <c r="S142" s="59"/>
      <c r="T142" s="59"/>
    </row>
    <row r="143" spans="2:20" ht="10.5" hidden="1" customHeight="1">
      <c r="B143" s="16"/>
      <c r="C143" s="16"/>
      <c r="D143" s="16"/>
      <c r="E143" s="2"/>
      <c r="F143" s="2"/>
      <c r="G143" s="2"/>
      <c r="H143" s="2"/>
      <c r="I143" s="2"/>
      <c r="J143" s="17"/>
      <c r="K143" s="20"/>
      <c r="L143" s="64"/>
      <c r="M143" s="64"/>
      <c r="N143" s="59"/>
      <c r="O143" s="59"/>
      <c r="P143" s="59"/>
      <c r="Q143" s="59"/>
      <c r="R143" s="59"/>
      <c r="S143" s="59"/>
      <c r="T143" s="59"/>
    </row>
    <row r="144" spans="2:20" ht="10.5" hidden="1" customHeight="1">
      <c r="B144" s="16"/>
      <c r="C144" s="16"/>
      <c r="D144" s="16"/>
      <c r="E144" s="2"/>
      <c r="F144" s="2"/>
      <c r="G144" s="2"/>
      <c r="H144" s="2"/>
      <c r="I144" s="2"/>
      <c r="J144" s="17"/>
      <c r="K144" s="20"/>
      <c r="L144" s="64"/>
      <c r="M144" s="64"/>
      <c r="N144" s="59"/>
      <c r="O144" s="59"/>
      <c r="P144" s="59"/>
      <c r="Q144" s="59"/>
      <c r="R144" s="59"/>
      <c r="S144" s="59"/>
      <c r="T144" s="59"/>
    </row>
    <row r="145" spans="2:20" ht="10.5" hidden="1" customHeight="1">
      <c r="B145" s="16"/>
      <c r="C145" s="16"/>
      <c r="D145" s="16"/>
      <c r="E145" s="2"/>
      <c r="F145" s="2"/>
      <c r="G145" s="2"/>
      <c r="H145" s="2"/>
      <c r="I145" s="2"/>
      <c r="J145" s="17"/>
      <c r="K145" s="20"/>
      <c r="L145" s="64"/>
      <c r="M145" s="64"/>
      <c r="N145" s="59"/>
      <c r="O145" s="59"/>
      <c r="P145" s="59"/>
      <c r="Q145" s="59"/>
      <c r="R145" s="59"/>
      <c r="S145" s="59"/>
      <c r="T145" s="59"/>
    </row>
    <row r="146" spans="2:20" ht="10.5" hidden="1" customHeight="1">
      <c r="B146" s="16"/>
      <c r="C146" s="16"/>
      <c r="D146" s="16"/>
      <c r="E146" s="16"/>
      <c r="F146" s="16"/>
      <c r="G146" s="16"/>
      <c r="H146" s="16"/>
      <c r="I146" s="16"/>
      <c r="J146" s="20"/>
      <c r="K146" s="20"/>
      <c r="L146" s="64"/>
      <c r="M146" s="64"/>
      <c r="N146" s="59"/>
      <c r="O146" s="59"/>
      <c r="P146" s="59"/>
      <c r="Q146" s="59"/>
      <c r="R146" s="59"/>
      <c r="S146" s="59"/>
      <c r="T146" s="59"/>
    </row>
    <row r="147" spans="2:20" ht="10.5" hidden="1" customHeight="1">
      <c r="B147" s="16"/>
      <c r="C147" s="16"/>
      <c r="D147" s="16"/>
      <c r="E147" s="16"/>
      <c r="F147" s="16"/>
      <c r="G147" s="16"/>
      <c r="H147" s="16"/>
      <c r="I147" s="16"/>
      <c r="J147" s="20"/>
      <c r="K147" s="20"/>
      <c r="L147" s="67"/>
      <c r="M147" s="64"/>
      <c r="N147" s="59"/>
      <c r="O147" s="59"/>
      <c r="P147" s="59"/>
      <c r="Q147" s="59"/>
      <c r="R147" s="59"/>
      <c r="S147" s="59"/>
      <c r="T147" s="59"/>
    </row>
    <row r="148" spans="2:20" ht="10.5" hidden="1" customHeight="1">
      <c r="B148" s="16"/>
      <c r="C148" s="16"/>
      <c r="D148" s="16"/>
      <c r="E148" s="16"/>
      <c r="F148" s="16"/>
      <c r="G148" s="16"/>
      <c r="H148" s="16"/>
      <c r="I148" s="16"/>
      <c r="J148" s="20"/>
      <c r="K148" s="20"/>
      <c r="L148" s="64"/>
      <c r="M148" s="64"/>
      <c r="N148" s="59"/>
      <c r="O148" s="59"/>
      <c r="P148" s="59"/>
      <c r="Q148" s="59"/>
      <c r="R148" s="59"/>
      <c r="S148" s="59"/>
      <c r="T148" s="59"/>
    </row>
    <row r="149" spans="2:20" ht="10.5" hidden="1" customHeight="1">
      <c r="B149" s="16"/>
      <c r="C149" s="16"/>
      <c r="D149" s="16"/>
      <c r="E149" s="16"/>
      <c r="F149" s="16"/>
      <c r="G149" s="16"/>
      <c r="H149" s="16"/>
      <c r="I149" s="16"/>
      <c r="J149" s="16"/>
      <c r="K149" s="16"/>
      <c r="M149" s="59"/>
      <c r="N149" s="59"/>
      <c r="O149" s="59"/>
      <c r="P149" s="59"/>
      <c r="Q149" s="59"/>
      <c r="R149" s="59"/>
      <c r="S149" s="59"/>
      <c r="T149" s="59"/>
    </row>
    <row r="150" spans="2:20" ht="10.5" hidden="1" customHeight="1">
      <c r="B150" s="16"/>
      <c r="C150" s="16"/>
      <c r="D150" s="16"/>
      <c r="E150" s="16"/>
      <c r="F150" s="16"/>
      <c r="G150" s="16"/>
      <c r="H150" s="16"/>
      <c r="I150" s="16"/>
      <c r="J150" s="16"/>
      <c r="K150" s="16"/>
      <c r="M150" s="59"/>
      <c r="N150" s="59"/>
      <c r="O150" s="59"/>
      <c r="P150" s="59"/>
      <c r="Q150" s="59"/>
      <c r="R150" s="59"/>
      <c r="S150" s="59"/>
      <c r="T150" s="59"/>
    </row>
    <row r="151" spans="2:20" ht="10.5" hidden="1" customHeight="1">
      <c r="B151" s="16"/>
      <c r="C151" s="16"/>
      <c r="D151" s="16"/>
      <c r="E151" s="16"/>
      <c r="F151" s="16"/>
      <c r="G151" s="16"/>
      <c r="H151" s="16"/>
      <c r="I151" s="16"/>
      <c r="J151" s="16"/>
      <c r="K151" s="16"/>
      <c r="M151" s="59"/>
      <c r="N151" s="59"/>
      <c r="O151" s="59"/>
      <c r="P151" s="59"/>
      <c r="Q151" s="59"/>
      <c r="R151" s="59"/>
      <c r="S151" s="59"/>
      <c r="T151" s="59"/>
    </row>
    <row r="152" spans="2:20" ht="10.5" hidden="1" customHeight="1">
      <c r="B152" s="16"/>
      <c r="C152" s="16"/>
      <c r="D152" s="16"/>
      <c r="E152" s="16"/>
      <c r="F152" s="16"/>
      <c r="G152" s="16"/>
      <c r="H152" s="16"/>
      <c r="I152" s="16"/>
      <c r="J152" s="16"/>
      <c r="K152" s="16"/>
      <c r="M152" s="59"/>
      <c r="N152" s="59"/>
      <c r="O152" s="59"/>
      <c r="P152" s="59"/>
      <c r="Q152" s="59"/>
      <c r="R152" s="59"/>
      <c r="S152" s="59"/>
      <c r="T152" s="59"/>
    </row>
    <row r="153" spans="2:20" ht="10.5" hidden="1" customHeight="1">
      <c r="B153" s="16"/>
      <c r="C153" s="16"/>
      <c r="D153" s="16"/>
      <c r="E153" s="16"/>
      <c r="F153" s="16"/>
      <c r="G153" s="16"/>
      <c r="H153" s="16"/>
      <c r="I153" s="16"/>
      <c r="J153" s="16"/>
      <c r="K153" s="16"/>
      <c r="M153" s="59"/>
      <c r="N153" s="59"/>
      <c r="O153" s="59"/>
      <c r="P153" s="59"/>
      <c r="Q153" s="59"/>
      <c r="R153" s="59"/>
      <c r="S153" s="59"/>
      <c r="T153" s="59"/>
    </row>
    <row r="154" spans="2:20" ht="10.5" hidden="1" customHeight="1">
      <c r="B154" s="16"/>
      <c r="C154" s="16"/>
      <c r="D154" s="16"/>
      <c r="E154" s="16"/>
      <c r="F154" s="16"/>
      <c r="G154" s="16"/>
      <c r="H154" s="16"/>
      <c r="I154" s="16"/>
      <c r="J154" s="16"/>
      <c r="K154" s="16"/>
      <c r="M154" s="59"/>
      <c r="N154" s="59"/>
      <c r="O154" s="59"/>
      <c r="P154" s="59"/>
      <c r="Q154" s="59"/>
      <c r="R154" s="59"/>
      <c r="S154" s="59"/>
      <c r="T154" s="59"/>
    </row>
    <row r="155" spans="2:20" ht="10.5" hidden="1" customHeight="1">
      <c r="B155" s="16"/>
      <c r="C155" s="16"/>
      <c r="D155" s="16"/>
      <c r="E155" s="16"/>
      <c r="F155" s="16"/>
      <c r="G155" s="16"/>
      <c r="H155" s="16"/>
      <c r="I155" s="16"/>
      <c r="J155" s="16"/>
      <c r="K155" s="16"/>
      <c r="M155" s="59"/>
      <c r="N155" s="59"/>
      <c r="O155" s="59"/>
      <c r="P155" s="59"/>
      <c r="Q155" s="59"/>
      <c r="R155" s="59"/>
      <c r="S155" s="59"/>
      <c r="T155" s="59"/>
    </row>
    <row r="156" spans="2:20" ht="10.5" hidden="1" customHeight="1">
      <c r="B156" s="16"/>
      <c r="C156" s="16"/>
      <c r="D156" s="16"/>
      <c r="E156" s="16"/>
      <c r="F156" s="16"/>
      <c r="G156" s="16"/>
      <c r="H156" s="16"/>
      <c r="I156" s="16"/>
      <c r="J156" s="16"/>
      <c r="K156" s="16"/>
      <c r="M156" s="59"/>
      <c r="N156" s="59"/>
      <c r="O156" s="59"/>
      <c r="P156" s="59"/>
      <c r="Q156" s="59"/>
      <c r="R156" s="59"/>
      <c r="S156" s="59"/>
      <c r="T156" s="59"/>
    </row>
    <row r="157" spans="2:20" ht="10.5" hidden="1" customHeight="1">
      <c r="B157" s="16"/>
      <c r="C157" s="16"/>
      <c r="D157" s="16"/>
      <c r="E157" s="16"/>
      <c r="F157" s="16"/>
      <c r="G157" s="16"/>
      <c r="H157" s="16"/>
      <c r="I157" s="16"/>
      <c r="J157" s="16"/>
      <c r="K157" s="16"/>
      <c r="M157" s="59"/>
      <c r="N157" s="59"/>
      <c r="O157" s="59"/>
      <c r="P157" s="59"/>
      <c r="Q157" s="59"/>
      <c r="R157" s="59"/>
      <c r="S157" s="59"/>
      <c r="T157" s="59"/>
    </row>
    <row r="158" spans="2:20" ht="10.5" hidden="1" customHeight="1">
      <c r="B158" s="16"/>
      <c r="C158" s="16"/>
      <c r="D158" s="16"/>
      <c r="E158" s="16"/>
      <c r="F158" s="16"/>
      <c r="G158" s="16"/>
      <c r="H158" s="16"/>
      <c r="I158" s="16"/>
      <c r="J158" s="16"/>
      <c r="K158" s="16"/>
      <c r="M158" s="59"/>
      <c r="N158" s="59"/>
      <c r="O158" s="59"/>
      <c r="P158" s="59"/>
      <c r="Q158" s="59"/>
      <c r="R158" s="59"/>
      <c r="S158" s="59"/>
      <c r="T158" s="59"/>
    </row>
    <row r="159" spans="2:20" ht="10.5" hidden="1" customHeight="1">
      <c r="B159" s="16"/>
      <c r="C159" s="16"/>
      <c r="D159" s="16"/>
      <c r="E159" s="16"/>
      <c r="F159" s="20"/>
      <c r="G159" s="20"/>
      <c r="H159" s="20"/>
      <c r="I159" s="20"/>
      <c r="J159" s="16"/>
      <c r="K159" s="16"/>
      <c r="M159" s="59"/>
      <c r="N159" s="59"/>
      <c r="O159" s="59"/>
      <c r="P159" s="59"/>
      <c r="Q159" s="59"/>
      <c r="R159" s="59"/>
      <c r="S159" s="59"/>
      <c r="T159" s="59"/>
    </row>
    <row r="160" spans="2:20" ht="10.5" hidden="1" customHeight="1">
      <c r="B160" s="16"/>
      <c r="C160" s="16"/>
      <c r="D160" s="16"/>
      <c r="E160" s="16"/>
      <c r="F160" s="20"/>
      <c r="G160" s="20"/>
      <c r="H160" s="20"/>
      <c r="I160" s="20"/>
      <c r="J160" s="16"/>
      <c r="K160" s="16"/>
      <c r="M160" s="59"/>
      <c r="N160" s="59"/>
      <c r="O160" s="59"/>
      <c r="P160" s="59"/>
      <c r="Q160" s="59"/>
      <c r="R160" s="59"/>
      <c r="S160" s="59"/>
      <c r="T160" s="59"/>
    </row>
    <row r="161" spans="2:20" ht="10.5" hidden="1" customHeight="1">
      <c r="B161" s="16"/>
      <c r="C161" s="16"/>
      <c r="D161" s="16"/>
      <c r="E161" s="16"/>
      <c r="F161" s="20"/>
      <c r="G161" s="20"/>
      <c r="H161" s="20"/>
      <c r="I161" s="20"/>
      <c r="J161" s="16"/>
      <c r="K161" s="16"/>
      <c r="M161" s="59"/>
      <c r="N161" s="59"/>
      <c r="O161" s="59"/>
      <c r="P161" s="59"/>
      <c r="Q161" s="59"/>
      <c r="R161" s="59"/>
      <c r="S161" s="59"/>
      <c r="T161" s="59"/>
    </row>
    <row r="162" spans="2:20" ht="10.5" hidden="1" customHeight="1">
      <c r="B162" s="16"/>
      <c r="C162" s="16"/>
      <c r="D162" s="16"/>
      <c r="E162" s="16"/>
      <c r="F162" s="20"/>
      <c r="G162" s="20"/>
      <c r="H162" s="20"/>
      <c r="I162" s="20"/>
      <c r="J162" s="16"/>
      <c r="K162" s="16"/>
      <c r="M162" s="59"/>
      <c r="N162" s="59"/>
      <c r="O162" s="59"/>
      <c r="P162" s="59"/>
      <c r="Q162" s="59"/>
      <c r="R162" s="59"/>
      <c r="S162" s="59"/>
      <c r="T162" s="59"/>
    </row>
    <row r="163" spans="2:20" ht="10.5" hidden="1" customHeight="1">
      <c r="B163" s="16"/>
      <c r="C163" s="16"/>
      <c r="D163" s="16"/>
      <c r="E163" s="16"/>
      <c r="F163" s="20"/>
      <c r="G163" s="20"/>
      <c r="H163" s="20"/>
      <c r="I163" s="20"/>
      <c r="J163" s="16"/>
      <c r="K163" s="16"/>
      <c r="M163" s="59"/>
      <c r="N163" s="59"/>
      <c r="O163" s="59"/>
      <c r="P163" s="59"/>
      <c r="Q163" s="59"/>
      <c r="R163" s="59"/>
      <c r="S163" s="59"/>
      <c r="T163" s="59"/>
    </row>
    <row r="164" spans="2:20" ht="10.5" hidden="1" customHeight="1">
      <c r="B164" s="16"/>
      <c r="C164" s="16"/>
      <c r="D164" s="16"/>
      <c r="E164" s="16"/>
      <c r="F164" s="20"/>
      <c r="G164" s="20"/>
      <c r="H164" s="20"/>
      <c r="I164" s="20"/>
      <c r="J164" s="16"/>
      <c r="K164" s="16"/>
      <c r="M164" s="59"/>
      <c r="N164" s="59"/>
      <c r="O164" s="59"/>
      <c r="P164" s="59"/>
      <c r="Q164" s="59"/>
      <c r="R164" s="59"/>
      <c r="S164" s="59"/>
      <c r="T164" s="59"/>
    </row>
    <row r="165" spans="2:20" ht="10.5" hidden="1" customHeight="1">
      <c r="B165" s="16"/>
      <c r="C165" s="16"/>
      <c r="D165" s="16"/>
      <c r="E165" s="16"/>
      <c r="F165" s="20"/>
      <c r="G165" s="16"/>
      <c r="H165" s="20"/>
      <c r="I165" s="16"/>
      <c r="J165" s="16"/>
      <c r="K165" s="16"/>
      <c r="M165" s="59"/>
      <c r="N165" s="59"/>
      <c r="O165" s="59"/>
      <c r="P165" s="59"/>
      <c r="Q165" s="59"/>
      <c r="R165" s="59"/>
      <c r="S165" s="59"/>
      <c r="T165" s="59"/>
    </row>
    <row r="166" spans="2:20" ht="10.5" hidden="1" customHeight="1">
      <c r="B166" s="16"/>
      <c r="C166" s="16"/>
      <c r="D166" s="16"/>
      <c r="E166" s="16"/>
      <c r="F166" s="16"/>
      <c r="G166" s="16"/>
      <c r="H166" s="16"/>
      <c r="I166" s="16"/>
      <c r="J166" s="16"/>
      <c r="K166" s="16"/>
      <c r="M166" s="59"/>
      <c r="N166" s="59"/>
      <c r="O166" s="59"/>
      <c r="P166" s="59"/>
      <c r="Q166" s="59"/>
      <c r="R166" s="59"/>
      <c r="S166" s="59"/>
      <c r="T166" s="59"/>
    </row>
    <row r="167" spans="2:20" ht="10.5" hidden="1" customHeight="1">
      <c r="B167" s="16"/>
      <c r="C167" s="16"/>
      <c r="D167" s="16"/>
      <c r="E167" s="16"/>
      <c r="F167" s="16"/>
      <c r="G167" s="16"/>
      <c r="H167" s="16"/>
      <c r="I167" s="16"/>
      <c r="J167" s="16"/>
      <c r="K167" s="16"/>
      <c r="M167" s="59"/>
      <c r="N167" s="59"/>
      <c r="O167" s="59"/>
      <c r="P167" s="59"/>
      <c r="Q167" s="59"/>
      <c r="R167" s="59"/>
      <c r="S167" s="59"/>
      <c r="T167" s="59"/>
    </row>
    <row r="168" spans="2:20" ht="10.5" hidden="1" customHeight="1">
      <c r="B168" s="16"/>
      <c r="C168" s="16"/>
      <c r="D168" s="16"/>
      <c r="E168" s="16"/>
      <c r="F168" s="16"/>
      <c r="G168" s="16"/>
      <c r="H168" s="16"/>
      <c r="I168" s="16"/>
      <c r="J168" s="16"/>
      <c r="K168" s="16"/>
      <c r="M168" s="59"/>
      <c r="N168" s="59"/>
      <c r="O168" s="59"/>
      <c r="P168" s="59"/>
      <c r="Q168" s="59"/>
      <c r="R168" s="59"/>
      <c r="S168" s="59"/>
      <c r="T168" s="59"/>
    </row>
    <row r="169" spans="2:20" ht="10.5" hidden="1" customHeight="1">
      <c r="B169" s="16"/>
      <c r="C169" s="16"/>
      <c r="D169" s="16"/>
      <c r="E169" s="16"/>
      <c r="F169" s="16"/>
      <c r="G169" s="16"/>
      <c r="H169" s="16"/>
      <c r="I169" s="16"/>
      <c r="J169" s="16"/>
      <c r="K169" s="16"/>
      <c r="M169" s="59"/>
      <c r="N169" s="59"/>
      <c r="O169" s="59"/>
      <c r="P169" s="59"/>
      <c r="Q169" s="59"/>
      <c r="R169" s="59"/>
      <c r="S169" s="59"/>
      <c r="T169" s="59"/>
    </row>
    <row r="170" spans="2:20" ht="10.5" hidden="1" customHeight="1">
      <c r="B170" s="16"/>
      <c r="C170" s="16"/>
      <c r="D170" s="16"/>
      <c r="E170" s="16"/>
      <c r="F170" s="16"/>
      <c r="G170" s="16"/>
      <c r="H170" s="16"/>
      <c r="I170" s="16"/>
      <c r="J170" s="16"/>
      <c r="K170" s="16"/>
      <c r="M170" s="59"/>
      <c r="N170" s="59"/>
      <c r="O170" s="59"/>
      <c r="P170" s="59"/>
      <c r="Q170" s="59"/>
      <c r="R170" s="59"/>
      <c r="S170" s="59"/>
      <c r="T170" s="59"/>
    </row>
    <row r="171" spans="2:20" ht="10.5" hidden="1" customHeight="1">
      <c r="B171" s="16"/>
      <c r="C171" s="16"/>
      <c r="D171" s="16"/>
      <c r="E171" s="16"/>
      <c r="F171" s="16"/>
      <c r="G171" s="16"/>
      <c r="H171" s="16"/>
      <c r="I171" s="16"/>
      <c r="J171" s="16"/>
      <c r="K171" s="16"/>
      <c r="M171" s="59"/>
      <c r="N171" s="59"/>
      <c r="O171" s="59"/>
      <c r="P171" s="59"/>
      <c r="Q171" s="59"/>
      <c r="R171" s="59"/>
      <c r="S171" s="59"/>
      <c r="T171" s="59"/>
    </row>
    <row r="172" spans="2:20" ht="10.5" hidden="1" customHeight="1">
      <c r="B172" s="16"/>
      <c r="C172" s="16"/>
      <c r="D172" s="16"/>
      <c r="E172" s="16"/>
      <c r="F172" s="16"/>
      <c r="G172" s="16"/>
      <c r="H172" s="16"/>
      <c r="I172" s="16"/>
      <c r="J172" s="16"/>
      <c r="K172" s="16"/>
      <c r="M172" s="59"/>
      <c r="N172" s="59"/>
      <c r="O172" s="59"/>
      <c r="P172" s="59"/>
      <c r="Q172" s="59"/>
      <c r="R172" s="59"/>
      <c r="S172" s="59"/>
      <c r="T172" s="59"/>
    </row>
    <row r="173" spans="2:20" ht="10.5" hidden="1" customHeight="1">
      <c r="B173" s="16"/>
      <c r="C173" s="16"/>
      <c r="D173" s="16"/>
      <c r="E173" s="16"/>
      <c r="F173" s="16"/>
      <c r="G173" s="16"/>
      <c r="H173" s="16"/>
      <c r="I173" s="16"/>
      <c r="J173" s="16"/>
      <c r="K173" s="16"/>
      <c r="M173" s="59"/>
      <c r="N173" s="59"/>
      <c r="O173" s="59"/>
      <c r="P173" s="59"/>
      <c r="Q173" s="59"/>
      <c r="R173" s="59"/>
      <c r="S173" s="59"/>
      <c r="T173" s="59"/>
    </row>
    <row r="174" spans="2:20" ht="10.5" hidden="1" customHeight="1">
      <c r="B174" s="16"/>
      <c r="C174" s="16"/>
      <c r="D174" s="16"/>
      <c r="E174" s="16"/>
      <c r="F174" s="16"/>
      <c r="G174" s="16"/>
      <c r="H174" s="16"/>
      <c r="I174" s="16"/>
      <c r="J174" s="16"/>
      <c r="K174" s="16"/>
      <c r="M174" s="59"/>
      <c r="N174" s="59"/>
      <c r="O174" s="59"/>
      <c r="P174" s="59"/>
      <c r="Q174" s="59"/>
      <c r="R174" s="59"/>
      <c r="S174" s="59"/>
      <c r="T174" s="59"/>
    </row>
    <row r="175" spans="2:20" ht="10.5" hidden="1" customHeight="1">
      <c r="B175" s="16"/>
      <c r="C175" s="16"/>
      <c r="D175" s="16"/>
      <c r="E175" s="16"/>
      <c r="F175" s="16"/>
      <c r="G175" s="16"/>
      <c r="H175" s="16"/>
      <c r="I175" s="16"/>
      <c r="J175" s="16"/>
      <c r="K175" s="16"/>
      <c r="M175" s="59"/>
      <c r="N175" s="59"/>
      <c r="O175" s="59"/>
      <c r="P175" s="59"/>
      <c r="Q175" s="59"/>
      <c r="R175" s="59"/>
      <c r="S175" s="59"/>
      <c r="T175" s="59"/>
    </row>
    <row r="176" spans="2:20" ht="10.5" hidden="1" customHeight="1">
      <c r="B176" s="16"/>
      <c r="C176" s="16"/>
      <c r="D176" s="16"/>
      <c r="E176" s="16"/>
      <c r="F176" s="16"/>
      <c r="G176" s="16"/>
      <c r="H176" s="16"/>
      <c r="I176" s="16"/>
      <c r="J176" s="16"/>
      <c r="K176" s="16"/>
      <c r="M176" s="59"/>
      <c r="N176" s="59"/>
      <c r="O176" s="59"/>
      <c r="P176" s="59"/>
      <c r="Q176" s="59"/>
      <c r="R176" s="59"/>
      <c r="S176" s="59"/>
      <c r="T176" s="59"/>
    </row>
    <row r="177" spans="2:20" ht="10.5" hidden="1" customHeight="1">
      <c r="B177" s="16"/>
      <c r="C177" s="16"/>
      <c r="D177" s="16"/>
      <c r="E177" s="16"/>
      <c r="F177" s="16"/>
      <c r="G177" s="16"/>
      <c r="H177" s="16"/>
      <c r="I177" s="16"/>
      <c r="J177" s="16"/>
      <c r="K177" s="16"/>
      <c r="M177" s="59"/>
      <c r="N177" s="59"/>
      <c r="O177" s="59"/>
      <c r="P177" s="59"/>
      <c r="Q177" s="59"/>
      <c r="R177" s="59"/>
      <c r="S177" s="59"/>
      <c r="T177" s="59"/>
    </row>
    <row r="178" spans="2:20" ht="10.5" hidden="1" customHeight="1">
      <c r="B178" s="16"/>
      <c r="C178" s="16"/>
      <c r="D178" s="16"/>
      <c r="E178" s="16"/>
      <c r="F178" s="16"/>
      <c r="G178" s="16"/>
      <c r="H178" s="16"/>
      <c r="I178" s="16"/>
      <c r="J178" s="16"/>
      <c r="K178" s="16"/>
      <c r="M178" s="59"/>
      <c r="N178" s="59"/>
      <c r="O178" s="59"/>
      <c r="P178" s="59"/>
      <c r="Q178" s="59"/>
      <c r="R178" s="59"/>
      <c r="S178" s="59"/>
      <c r="T178" s="59"/>
    </row>
    <row r="179" spans="2:20" ht="10.5" hidden="1" customHeight="1">
      <c r="B179" s="16"/>
      <c r="C179" s="16"/>
      <c r="D179" s="16"/>
      <c r="E179" s="16"/>
      <c r="F179" s="16"/>
      <c r="G179" s="16"/>
      <c r="H179" s="16"/>
      <c r="I179" s="16"/>
      <c r="J179" s="16"/>
      <c r="K179" s="16"/>
      <c r="M179" s="59"/>
      <c r="N179" s="59"/>
      <c r="O179" s="59"/>
      <c r="P179" s="59"/>
      <c r="Q179" s="59"/>
      <c r="R179" s="59"/>
      <c r="S179" s="59"/>
      <c r="T179" s="59"/>
    </row>
    <row r="180" spans="2:20" ht="10.5" hidden="1" customHeight="1">
      <c r="B180" s="16"/>
      <c r="C180" s="16"/>
      <c r="D180" s="16"/>
      <c r="E180" s="16"/>
      <c r="F180" s="16"/>
      <c r="G180" s="16"/>
      <c r="H180" s="16"/>
      <c r="I180" s="16"/>
      <c r="J180" s="16"/>
      <c r="K180" s="16"/>
      <c r="M180" s="59"/>
      <c r="N180" s="59"/>
      <c r="O180" s="59"/>
      <c r="P180" s="59"/>
      <c r="Q180" s="59"/>
      <c r="R180" s="59"/>
      <c r="S180" s="59"/>
      <c r="T180" s="59"/>
    </row>
    <row r="181" spans="2:20" ht="10.5" hidden="1" customHeight="1">
      <c r="B181" s="16"/>
      <c r="C181" s="16"/>
      <c r="D181" s="16"/>
      <c r="E181" s="16"/>
      <c r="F181" s="16"/>
      <c r="G181" s="16"/>
      <c r="H181" s="16"/>
      <c r="I181" s="16"/>
      <c r="J181" s="16"/>
      <c r="K181" s="16"/>
      <c r="M181" s="59"/>
      <c r="N181" s="59"/>
      <c r="O181" s="59"/>
      <c r="P181" s="59"/>
      <c r="Q181" s="59"/>
      <c r="R181" s="59"/>
      <c r="S181" s="59"/>
      <c r="T181" s="59"/>
    </row>
    <row r="182" spans="2:20" ht="10.5" hidden="1" customHeight="1">
      <c r="B182" s="16"/>
      <c r="C182" s="16"/>
      <c r="D182" s="16"/>
      <c r="E182" s="16"/>
      <c r="F182" s="16"/>
      <c r="G182" s="16"/>
      <c r="H182" s="16"/>
      <c r="I182" s="16"/>
      <c r="J182" s="16"/>
      <c r="K182" s="16"/>
      <c r="M182" s="59"/>
      <c r="N182" s="59"/>
      <c r="O182" s="59"/>
      <c r="P182" s="59"/>
      <c r="Q182" s="59"/>
      <c r="R182" s="59"/>
      <c r="S182" s="59"/>
      <c r="T182" s="59"/>
    </row>
    <row r="183" spans="2:20" ht="10.5" hidden="1" customHeight="1">
      <c r="B183" s="16"/>
      <c r="C183" s="16"/>
      <c r="D183" s="16"/>
      <c r="E183" s="16"/>
      <c r="F183" s="16"/>
      <c r="G183" s="16"/>
      <c r="H183" s="16"/>
      <c r="I183" s="16"/>
      <c r="J183" s="16"/>
      <c r="K183" s="16"/>
      <c r="M183" s="59"/>
      <c r="N183" s="59"/>
      <c r="O183" s="59"/>
      <c r="P183" s="59"/>
      <c r="Q183" s="59"/>
      <c r="R183" s="59"/>
      <c r="S183" s="59"/>
      <c r="T183" s="59"/>
    </row>
    <row r="184" spans="2:20" ht="10.5" hidden="1" customHeight="1">
      <c r="B184" s="16"/>
      <c r="C184" s="16"/>
      <c r="D184" s="16"/>
      <c r="E184" s="16"/>
      <c r="F184" s="16"/>
      <c r="G184" s="16"/>
      <c r="H184" s="16"/>
      <c r="I184" s="16"/>
      <c r="J184" s="16"/>
      <c r="K184" s="16"/>
      <c r="M184" s="59"/>
      <c r="N184" s="59"/>
      <c r="O184" s="59"/>
      <c r="P184" s="59"/>
      <c r="Q184" s="59"/>
      <c r="R184" s="59"/>
      <c r="S184" s="59"/>
      <c r="T184" s="59"/>
    </row>
    <row r="185" spans="2:20" ht="10.5" hidden="1" customHeight="1">
      <c r="B185" s="16"/>
      <c r="C185" s="16"/>
      <c r="D185" s="16"/>
      <c r="E185" s="16"/>
      <c r="F185" s="16"/>
      <c r="G185" s="16"/>
      <c r="H185" s="16"/>
      <c r="I185" s="16"/>
      <c r="J185" s="16"/>
      <c r="K185" s="16"/>
      <c r="M185" s="59"/>
      <c r="N185" s="59"/>
      <c r="O185" s="59"/>
      <c r="P185" s="59"/>
      <c r="Q185" s="59"/>
      <c r="R185" s="59"/>
      <c r="S185" s="59"/>
      <c r="T185" s="59"/>
    </row>
    <row r="186" spans="2:20" ht="10.5" hidden="1" customHeight="1">
      <c r="B186" s="16"/>
      <c r="C186" s="16"/>
      <c r="D186" s="16"/>
      <c r="E186" s="16"/>
      <c r="F186" s="16"/>
      <c r="G186" s="16"/>
      <c r="H186" s="16"/>
      <c r="I186" s="16"/>
      <c r="J186" s="16"/>
      <c r="K186" s="16"/>
      <c r="M186" s="59"/>
      <c r="N186" s="59"/>
      <c r="O186" s="59"/>
      <c r="P186" s="59"/>
      <c r="Q186" s="59"/>
      <c r="R186" s="59"/>
      <c r="S186" s="59"/>
      <c r="T186" s="59"/>
    </row>
    <row r="187" spans="2:20" ht="10.5" hidden="1" customHeight="1">
      <c r="B187" s="16"/>
      <c r="C187" s="16"/>
      <c r="D187" s="16"/>
      <c r="E187" s="16"/>
      <c r="F187" s="16"/>
      <c r="G187" s="16"/>
      <c r="H187" s="16"/>
      <c r="I187" s="16"/>
      <c r="J187" s="16"/>
      <c r="K187" s="16"/>
      <c r="M187" s="59"/>
      <c r="N187" s="59"/>
      <c r="O187" s="59"/>
      <c r="P187" s="59"/>
      <c r="Q187" s="59"/>
      <c r="R187" s="59"/>
      <c r="S187" s="59"/>
      <c r="T187" s="59"/>
    </row>
    <row r="188" spans="2:20" ht="10.5" hidden="1" customHeight="1">
      <c r="B188" s="16"/>
      <c r="C188" s="16"/>
      <c r="D188" s="16"/>
      <c r="E188" s="16"/>
      <c r="F188" s="16"/>
      <c r="G188" s="16"/>
      <c r="H188" s="16"/>
      <c r="I188" s="16"/>
      <c r="J188" s="16"/>
      <c r="K188" s="16"/>
      <c r="M188" s="59"/>
      <c r="N188" s="59"/>
      <c r="O188" s="59"/>
      <c r="P188" s="59"/>
      <c r="Q188" s="59"/>
      <c r="R188" s="59"/>
      <c r="S188" s="59"/>
      <c r="T188" s="59"/>
    </row>
    <row r="189" spans="2:20" ht="10.5" hidden="1" customHeight="1">
      <c r="B189" s="16"/>
      <c r="C189" s="16"/>
      <c r="D189" s="16"/>
      <c r="E189" s="16"/>
      <c r="F189" s="16"/>
      <c r="G189" s="16"/>
      <c r="H189" s="16"/>
      <c r="I189" s="16"/>
      <c r="J189" s="16"/>
      <c r="K189" s="16"/>
      <c r="M189" s="59"/>
      <c r="N189" s="59"/>
      <c r="O189" s="59"/>
      <c r="P189" s="59"/>
      <c r="Q189" s="59"/>
      <c r="R189" s="59"/>
      <c r="S189" s="59"/>
      <c r="T189" s="59"/>
    </row>
    <row r="190" spans="2:20" ht="10.5" hidden="1" customHeight="1">
      <c r="B190" s="16"/>
      <c r="C190" s="16"/>
      <c r="D190" s="16"/>
      <c r="E190" s="16"/>
      <c r="F190" s="16"/>
      <c r="G190" s="16"/>
      <c r="H190" s="16"/>
      <c r="I190" s="16"/>
      <c r="J190" s="16"/>
      <c r="K190" s="16"/>
      <c r="M190" s="59"/>
      <c r="N190" s="59"/>
      <c r="O190" s="59"/>
      <c r="P190" s="59"/>
      <c r="Q190" s="59"/>
      <c r="R190" s="59"/>
      <c r="S190" s="59"/>
      <c r="T190" s="59"/>
    </row>
    <row r="191" spans="2:20" ht="10.5" hidden="1" customHeight="1">
      <c r="B191" s="16"/>
      <c r="C191" s="16"/>
      <c r="D191" s="16"/>
      <c r="E191" s="16"/>
      <c r="F191" s="16"/>
      <c r="G191" s="16"/>
      <c r="H191" s="16"/>
      <c r="I191" s="16"/>
      <c r="J191" s="16"/>
      <c r="K191" s="16"/>
      <c r="M191" s="59"/>
      <c r="N191" s="59"/>
      <c r="O191" s="59"/>
      <c r="P191" s="59"/>
      <c r="Q191" s="59"/>
      <c r="R191" s="59"/>
      <c r="S191" s="59"/>
      <c r="T191" s="59"/>
    </row>
    <row r="192" spans="2:20" ht="10.5" hidden="1" customHeight="1">
      <c r="B192" s="16"/>
      <c r="C192" s="16"/>
      <c r="D192" s="16"/>
      <c r="E192" s="16"/>
      <c r="F192" s="16"/>
      <c r="G192" s="16"/>
      <c r="H192" s="16"/>
      <c r="I192" s="16"/>
      <c r="J192" s="16"/>
      <c r="K192" s="16"/>
      <c r="M192" s="59"/>
      <c r="N192" s="59"/>
      <c r="O192" s="59"/>
      <c r="P192" s="59"/>
      <c r="Q192" s="59"/>
      <c r="R192" s="59"/>
      <c r="S192" s="59"/>
      <c r="T192" s="59"/>
    </row>
    <row r="193" spans="2:20" ht="10.5" hidden="1" customHeight="1">
      <c r="B193" s="16"/>
      <c r="C193" s="16"/>
      <c r="D193" s="16"/>
      <c r="E193" s="16"/>
      <c r="F193" s="16"/>
      <c r="G193" s="16"/>
      <c r="H193" s="16"/>
      <c r="I193" s="16"/>
      <c r="J193" s="16"/>
      <c r="K193" s="16"/>
      <c r="M193" s="59"/>
      <c r="N193" s="59"/>
      <c r="O193" s="59"/>
      <c r="P193" s="59"/>
      <c r="Q193" s="59"/>
      <c r="R193" s="59"/>
      <c r="S193" s="59"/>
      <c r="T193" s="59"/>
    </row>
    <row r="194" spans="2:20" ht="10.5" hidden="1" customHeight="1">
      <c r="B194" s="16"/>
      <c r="C194" s="16"/>
      <c r="D194" s="16"/>
      <c r="E194" s="16"/>
      <c r="F194" s="16"/>
      <c r="G194" s="16"/>
      <c r="H194" s="16"/>
      <c r="I194" s="16"/>
      <c r="J194" s="16"/>
      <c r="K194" s="16"/>
      <c r="M194" s="59"/>
      <c r="N194" s="59"/>
      <c r="O194" s="59"/>
      <c r="P194" s="59"/>
      <c r="Q194" s="59"/>
      <c r="R194" s="59"/>
      <c r="S194" s="59"/>
      <c r="T194" s="59"/>
    </row>
    <row r="195" spans="2:20" ht="10.5" hidden="1" customHeight="1">
      <c r="B195" s="16"/>
      <c r="C195" s="16"/>
      <c r="D195" s="16"/>
      <c r="E195" s="16"/>
      <c r="F195" s="16"/>
      <c r="G195" s="16"/>
      <c r="H195" s="16"/>
      <c r="I195" s="16"/>
      <c r="J195" s="16"/>
      <c r="K195" s="16"/>
      <c r="M195" s="59"/>
      <c r="N195" s="59"/>
      <c r="O195" s="59"/>
      <c r="P195" s="59"/>
      <c r="Q195" s="59"/>
      <c r="R195" s="59"/>
      <c r="S195" s="59"/>
      <c r="T195" s="59"/>
    </row>
    <row r="196" spans="2:20" ht="10.5" hidden="1" customHeight="1">
      <c r="B196" s="16"/>
      <c r="C196" s="16"/>
      <c r="D196" s="16"/>
      <c r="E196" s="16"/>
      <c r="F196" s="16"/>
      <c r="G196" s="16"/>
      <c r="H196" s="16"/>
      <c r="I196" s="16"/>
      <c r="J196" s="16"/>
      <c r="K196" s="16"/>
      <c r="M196" s="59"/>
      <c r="N196" s="59"/>
      <c r="O196" s="59"/>
      <c r="P196" s="59"/>
      <c r="Q196" s="59"/>
      <c r="R196" s="59"/>
      <c r="S196" s="59"/>
      <c r="T196" s="59"/>
    </row>
    <row r="197" spans="2:20" ht="10.5" hidden="1" customHeight="1">
      <c r="B197" s="16"/>
      <c r="C197" s="16"/>
      <c r="D197" s="16"/>
      <c r="E197" s="16"/>
      <c r="F197" s="16"/>
      <c r="G197" s="16"/>
      <c r="H197" s="16"/>
      <c r="I197" s="16"/>
      <c r="J197" s="16"/>
      <c r="K197" s="16"/>
      <c r="M197" s="59"/>
      <c r="N197" s="59"/>
      <c r="O197" s="59"/>
      <c r="P197" s="59"/>
      <c r="Q197" s="59"/>
      <c r="R197" s="59"/>
      <c r="S197" s="59"/>
      <c r="T197" s="59"/>
    </row>
    <row r="198" spans="2:20" ht="10.5" hidden="1" customHeight="1">
      <c r="B198" s="16"/>
      <c r="C198" s="16"/>
      <c r="D198" s="16"/>
      <c r="E198" s="16"/>
      <c r="F198" s="16"/>
      <c r="G198" s="16"/>
      <c r="H198" s="16"/>
      <c r="I198" s="16"/>
      <c r="J198" s="16"/>
      <c r="K198" s="16"/>
      <c r="M198" s="59"/>
      <c r="N198" s="59"/>
      <c r="O198" s="59"/>
      <c r="P198" s="59"/>
      <c r="Q198" s="59"/>
      <c r="R198" s="59"/>
      <c r="S198" s="59"/>
      <c r="T198" s="59"/>
    </row>
    <row r="199" spans="2:20" ht="10.5" hidden="1" customHeight="1">
      <c r="B199" s="16"/>
      <c r="C199" s="16"/>
      <c r="D199" s="16"/>
      <c r="E199" s="16"/>
      <c r="F199" s="16"/>
      <c r="G199" s="16"/>
      <c r="H199" s="16"/>
      <c r="I199" s="16"/>
      <c r="J199" s="16"/>
      <c r="K199" s="16"/>
      <c r="M199" s="59"/>
      <c r="N199" s="59"/>
      <c r="O199" s="59"/>
      <c r="P199" s="59"/>
      <c r="Q199" s="59"/>
      <c r="R199" s="59"/>
      <c r="S199" s="59"/>
      <c r="T199" s="59"/>
    </row>
    <row r="200" spans="2:20" ht="10.5" hidden="1" customHeight="1">
      <c r="B200" s="16"/>
      <c r="C200" s="16"/>
      <c r="D200" s="16"/>
      <c r="E200" s="16"/>
      <c r="F200" s="16"/>
      <c r="G200" s="16"/>
      <c r="H200" s="16"/>
      <c r="I200" s="16"/>
      <c r="J200" s="16"/>
      <c r="K200" s="16"/>
      <c r="M200" s="59"/>
      <c r="N200" s="59"/>
      <c r="O200" s="59"/>
      <c r="P200" s="59"/>
      <c r="Q200" s="59"/>
      <c r="R200" s="59"/>
      <c r="S200" s="59"/>
      <c r="T200" s="59"/>
    </row>
    <row r="201" spans="2:20" ht="10.5" hidden="1" customHeight="1">
      <c r="B201" s="16"/>
      <c r="C201" s="16"/>
      <c r="D201" s="16"/>
      <c r="E201" s="16"/>
      <c r="F201" s="16"/>
      <c r="G201" s="16"/>
      <c r="H201" s="16"/>
      <c r="I201" s="16"/>
      <c r="J201" s="16"/>
      <c r="K201" s="16"/>
      <c r="M201" s="59"/>
      <c r="N201" s="59"/>
      <c r="O201" s="59"/>
      <c r="P201" s="59"/>
      <c r="Q201" s="59"/>
      <c r="R201" s="59"/>
      <c r="S201" s="59"/>
      <c r="T201" s="59"/>
    </row>
    <row r="202" spans="2:20" ht="10.5" hidden="1" customHeight="1">
      <c r="B202" s="16"/>
      <c r="C202" s="16"/>
      <c r="D202" s="16"/>
      <c r="E202" s="16"/>
      <c r="F202" s="37"/>
      <c r="G202" s="37"/>
      <c r="H202" s="37"/>
      <c r="I202" s="16"/>
      <c r="J202" s="16"/>
      <c r="K202" s="16"/>
      <c r="M202" s="59"/>
      <c r="N202" s="59"/>
      <c r="O202" s="59"/>
      <c r="P202" s="59"/>
      <c r="Q202" s="59"/>
      <c r="R202" s="59"/>
      <c r="S202" s="59"/>
      <c r="T202" s="59"/>
    </row>
    <row r="203" spans="2:20" ht="10.5" hidden="1" customHeight="1">
      <c r="B203" s="16"/>
      <c r="C203" s="16"/>
      <c r="D203" s="16"/>
      <c r="E203" s="16"/>
      <c r="F203" s="16"/>
      <c r="G203" s="16"/>
      <c r="H203" s="16"/>
      <c r="I203" s="16"/>
      <c r="J203" s="16"/>
      <c r="K203" s="16"/>
      <c r="M203" s="59"/>
      <c r="N203" s="59"/>
      <c r="O203" s="59"/>
      <c r="P203" s="59"/>
      <c r="Q203" s="59"/>
      <c r="R203" s="59"/>
      <c r="S203" s="59"/>
      <c r="T203" s="59"/>
    </row>
    <row r="204" spans="2:20" ht="10.5" hidden="1" customHeight="1">
      <c r="B204" s="16"/>
      <c r="C204" s="16"/>
      <c r="D204" s="16"/>
      <c r="E204" s="16"/>
      <c r="F204" s="16"/>
      <c r="G204" s="16"/>
      <c r="H204" s="16"/>
      <c r="I204" s="16"/>
      <c r="J204" s="16"/>
      <c r="K204" s="16"/>
      <c r="M204" s="59"/>
      <c r="N204" s="59"/>
      <c r="O204" s="59"/>
      <c r="P204" s="59"/>
      <c r="Q204" s="59"/>
      <c r="R204" s="59"/>
      <c r="S204" s="59"/>
      <c r="T204" s="59"/>
    </row>
    <row r="205" spans="2:20" ht="10.5" hidden="1" customHeight="1">
      <c r="B205" s="16"/>
      <c r="C205" s="16"/>
      <c r="D205" s="16"/>
      <c r="E205" s="16"/>
      <c r="F205" s="16"/>
      <c r="G205" s="16"/>
      <c r="H205" s="16"/>
      <c r="I205" s="16"/>
      <c r="J205" s="16"/>
      <c r="K205" s="16"/>
      <c r="M205" s="59"/>
      <c r="N205" s="59"/>
      <c r="O205" s="59"/>
      <c r="P205" s="59"/>
      <c r="Q205" s="59"/>
      <c r="R205" s="59"/>
      <c r="S205" s="59"/>
      <c r="T205" s="59"/>
    </row>
    <row r="206" spans="2:20" ht="10.5" hidden="1" customHeight="1">
      <c r="B206" s="16"/>
      <c r="C206" s="16"/>
      <c r="D206" s="16"/>
      <c r="E206" s="16"/>
      <c r="F206" s="16"/>
      <c r="G206" s="16"/>
      <c r="H206" s="16"/>
      <c r="I206" s="16"/>
      <c r="J206" s="16"/>
      <c r="K206" s="16"/>
      <c r="M206" s="59"/>
      <c r="N206" s="59"/>
      <c r="O206" s="59"/>
      <c r="P206" s="59"/>
      <c r="Q206" s="59"/>
      <c r="R206" s="59"/>
      <c r="S206" s="59"/>
      <c r="T206" s="59"/>
    </row>
    <row r="207" spans="2:20" ht="10.5" hidden="1" customHeight="1">
      <c r="B207" s="16"/>
      <c r="C207" s="16"/>
      <c r="D207" s="16"/>
      <c r="E207" s="16"/>
      <c r="F207" s="16"/>
      <c r="G207" s="16"/>
      <c r="H207" s="16"/>
      <c r="I207" s="16"/>
      <c r="J207" s="16"/>
      <c r="K207" s="16"/>
      <c r="M207" s="59"/>
      <c r="N207" s="59"/>
      <c r="O207" s="59"/>
      <c r="P207" s="59"/>
      <c r="Q207" s="59"/>
      <c r="R207" s="59"/>
      <c r="S207" s="59"/>
      <c r="T207" s="59"/>
    </row>
    <row r="208" spans="2:20" ht="10.5" hidden="1" customHeight="1">
      <c r="B208" s="16"/>
      <c r="C208" s="16"/>
      <c r="D208" s="16"/>
      <c r="E208" s="16"/>
      <c r="F208" s="16"/>
      <c r="G208" s="16"/>
      <c r="H208" s="16"/>
      <c r="I208" s="16"/>
      <c r="J208" s="16"/>
      <c r="K208" s="16"/>
      <c r="M208" s="59"/>
      <c r="N208" s="59"/>
      <c r="O208" s="59"/>
      <c r="P208" s="59"/>
      <c r="Q208" s="59"/>
      <c r="R208" s="59"/>
      <c r="S208" s="59"/>
      <c r="T208" s="59"/>
    </row>
    <row r="209" spans="2:20" ht="10.5" hidden="1" customHeight="1">
      <c r="B209" s="16"/>
      <c r="C209" s="16"/>
      <c r="D209" s="16"/>
      <c r="E209" s="16"/>
      <c r="F209" s="16"/>
      <c r="G209" s="16"/>
      <c r="H209" s="16"/>
      <c r="I209" s="16"/>
      <c r="J209" s="16"/>
      <c r="K209" s="16"/>
      <c r="M209" s="59"/>
      <c r="N209" s="59"/>
      <c r="O209" s="59"/>
      <c r="P209" s="59"/>
      <c r="Q209" s="59"/>
      <c r="R209" s="59"/>
      <c r="S209" s="59"/>
      <c r="T209" s="59"/>
    </row>
    <row r="210" spans="2:20" ht="10.5" hidden="1" customHeight="1">
      <c r="B210" s="16"/>
      <c r="C210" s="16"/>
      <c r="D210" s="16"/>
      <c r="E210" s="16"/>
      <c r="F210" s="16"/>
      <c r="G210" s="16"/>
      <c r="H210" s="16"/>
      <c r="I210" s="16"/>
      <c r="J210" s="16"/>
      <c r="K210" s="16"/>
      <c r="M210" s="59"/>
      <c r="N210" s="59"/>
      <c r="O210" s="59"/>
      <c r="P210" s="59"/>
      <c r="Q210" s="59"/>
      <c r="R210" s="59"/>
      <c r="S210" s="59"/>
      <c r="T210" s="59"/>
    </row>
    <row r="211" spans="2:20" ht="10.5" hidden="1" customHeight="1">
      <c r="B211" s="16"/>
      <c r="C211" s="16"/>
      <c r="D211" s="16"/>
      <c r="E211" s="16"/>
      <c r="F211" s="16"/>
      <c r="G211" s="16"/>
      <c r="H211" s="16"/>
      <c r="I211" s="16"/>
      <c r="J211" s="16"/>
      <c r="K211" s="16"/>
      <c r="M211" s="59"/>
      <c r="N211" s="59"/>
      <c r="O211" s="59"/>
      <c r="P211" s="59"/>
      <c r="Q211" s="59"/>
      <c r="R211" s="59"/>
      <c r="S211" s="59"/>
      <c r="T211" s="59"/>
    </row>
    <row r="212" spans="2:20" ht="10.5" hidden="1" customHeight="1">
      <c r="B212" s="16"/>
      <c r="C212" s="16"/>
      <c r="D212" s="16"/>
      <c r="E212" s="16"/>
      <c r="F212" s="16"/>
      <c r="G212" s="16"/>
      <c r="H212" s="16"/>
      <c r="I212" s="16"/>
      <c r="J212" s="16"/>
      <c r="K212" s="16"/>
      <c r="M212" s="59"/>
      <c r="N212" s="59"/>
      <c r="O212" s="59"/>
      <c r="P212" s="59"/>
      <c r="Q212" s="59"/>
      <c r="R212" s="59"/>
      <c r="S212" s="59"/>
      <c r="T212" s="59"/>
    </row>
    <row r="213" spans="2:20" ht="10.5" hidden="1" customHeight="1">
      <c r="B213" s="16"/>
      <c r="C213" s="16"/>
      <c r="D213" s="16"/>
      <c r="E213" s="16"/>
      <c r="F213" s="16"/>
      <c r="G213" s="16"/>
      <c r="H213" s="16"/>
      <c r="I213" s="16"/>
      <c r="J213" s="16"/>
      <c r="K213" s="16"/>
      <c r="M213" s="59"/>
      <c r="N213" s="59"/>
      <c r="O213" s="59"/>
      <c r="P213" s="59"/>
      <c r="Q213" s="59"/>
      <c r="R213" s="59"/>
      <c r="S213" s="59"/>
      <c r="T213" s="59"/>
    </row>
    <row r="214" spans="2:20" ht="10.5" hidden="1" customHeight="1">
      <c r="B214" s="16"/>
      <c r="C214" s="16"/>
      <c r="D214" s="16"/>
      <c r="E214" s="16"/>
      <c r="F214" s="16"/>
      <c r="G214" s="16"/>
      <c r="H214" s="16"/>
      <c r="I214" s="16"/>
      <c r="J214" s="16"/>
      <c r="K214" s="16"/>
      <c r="M214" s="59"/>
      <c r="N214" s="59"/>
      <c r="O214" s="59"/>
      <c r="P214" s="59"/>
      <c r="Q214" s="59"/>
      <c r="R214" s="59"/>
      <c r="S214" s="59"/>
      <c r="T214" s="59"/>
    </row>
    <row r="215" spans="2:20" ht="10.5" hidden="1" customHeight="1">
      <c r="B215" s="16"/>
      <c r="C215" s="16"/>
      <c r="D215" s="16"/>
      <c r="E215" s="16"/>
      <c r="F215" s="16"/>
      <c r="G215" s="16"/>
      <c r="H215" s="16"/>
      <c r="I215" s="16"/>
      <c r="J215" s="16"/>
      <c r="K215" s="16"/>
      <c r="M215" s="59"/>
      <c r="N215" s="59"/>
      <c r="O215" s="59"/>
      <c r="P215" s="59"/>
      <c r="Q215" s="59"/>
      <c r="R215" s="59"/>
      <c r="S215" s="59"/>
      <c r="T215" s="59"/>
    </row>
    <row r="216" spans="2:20" ht="10.5" hidden="1" customHeight="1">
      <c r="B216" s="16"/>
      <c r="C216" s="16"/>
      <c r="D216" s="16"/>
      <c r="E216" s="16"/>
      <c r="F216" s="16"/>
      <c r="G216" s="16"/>
      <c r="H216" s="16"/>
      <c r="I216" s="16"/>
      <c r="J216" s="16"/>
      <c r="K216" s="16"/>
      <c r="M216" s="59"/>
      <c r="N216" s="59"/>
      <c r="O216" s="59"/>
      <c r="P216" s="59"/>
      <c r="Q216" s="59"/>
      <c r="R216" s="59"/>
      <c r="S216" s="59"/>
      <c r="T216" s="59"/>
    </row>
    <row r="217" spans="2:20" ht="10.5" hidden="1" customHeight="1">
      <c r="B217" s="16"/>
      <c r="C217" s="16"/>
      <c r="D217" s="16"/>
      <c r="E217" s="16"/>
      <c r="F217" s="16"/>
      <c r="G217" s="16"/>
      <c r="H217" s="16"/>
      <c r="I217" s="16"/>
      <c r="J217" s="16"/>
      <c r="K217" s="16"/>
      <c r="M217" s="59"/>
      <c r="N217" s="59"/>
      <c r="O217" s="59"/>
      <c r="P217" s="59"/>
      <c r="Q217" s="59"/>
      <c r="R217" s="59"/>
      <c r="S217" s="59"/>
      <c r="T217" s="59"/>
    </row>
    <row r="218" spans="2:20" ht="10.5" hidden="1" customHeight="1">
      <c r="B218" s="16"/>
      <c r="C218" s="16"/>
      <c r="D218" s="16"/>
      <c r="E218" s="16"/>
      <c r="F218" s="16"/>
      <c r="G218" s="16"/>
      <c r="H218" s="16"/>
      <c r="I218" s="16"/>
      <c r="J218" s="16"/>
      <c r="K218" s="16"/>
      <c r="M218" s="59"/>
      <c r="N218" s="59"/>
      <c r="O218" s="59"/>
      <c r="P218" s="59"/>
      <c r="Q218" s="59"/>
      <c r="R218" s="59"/>
      <c r="S218" s="59"/>
      <c r="T218" s="59"/>
    </row>
    <row r="219" spans="2:20" ht="10.5" hidden="1" customHeight="1">
      <c r="B219" s="16"/>
      <c r="C219" s="16"/>
      <c r="D219" s="16"/>
      <c r="E219" s="16"/>
      <c r="F219" s="16"/>
      <c r="G219" s="16"/>
      <c r="H219" s="16"/>
      <c r="I219" s="16"/>
      <c r="J219" s="16"/>
      <c r="K219" s="16"/>
      <c r="M219" s="59"/>
      <c r="N219" s="59"/>
      <c r="O219" s="59"/>
      <c r="P219" s="59"/>
      <c r="Q219" s="59"/>
      <c r="R219" s="59"/>
      <c r="S219" s="59"/>
      <c r="T219" s="59"/>
    </row>
    <row r="220" spans="2:20" ht="10.5" hidden="1" customHeight="1">
      <c r="B220" s="16"/>
      <c r="C220" s="16"/>
      <c r="D220" s="16"/>
      <c r="E220" s="16"/>
      <c r="F220" s="16"/>
      <c r="G220" s="16"/>
      <c r="H220" s="16"/>
      <c r="I220" s="16"/>
      <c r="J220" s="16"/>
      <c r="K220" s="16"/>
      <c r="M220" s="59"/>
      <c r="N220" s="59"/>
      <c r="O220" s="59"/>
      <c r="P220" s="59"/>
      <c r="Q220" s="59"/>
      <c r="R220" s="59"/>
      <c r="S220" s="59"/>
      <c r="T220" s="59"/>
    </row>
    <row r="221" spans="2:20" ht="10.5" hidden="1" customHeight="1">
      <c r="B221" s="16"/>
      <c r="C221" s="16"/>
      <c r="D221" s="16"/>
      <c r="E221" s="16"/>
      <c r="F221" s="16"/>
      <c r="G221" s="16"/>
      <c r="H221" s="16"/>
      <c r="I221" s="16"/>
      <c r="J221" s="16"/>
      <c r="K221" s="16"/>
      <c r="M221" s="59"/>
      <c r="N221" s="59"/>
      <c r="O221" s="59"/>
      <c r="P221" s="59"/>
      <c r="Q221" s="59"/>
      <c r="R221" s="59"/>
      <c r="S221" s="59"/>
      <c r="T221" s="59"/>
    </row>
    <row r="222" spans="2:20" ht="10.5" hidden="1" customHeight="1">
      <c r="B222" s="16"/>
      <c r="C222" s="16"/>
      <c r="D222" s="16"/>
      <c r="E222" s="16"/>
      <c r="F222" s="16"/>
      <c r="G222" s="16"/>
      <c r="H222" s="16"/>
      <c r="I222" s="16"/>
      <c r="J222" s="16"/>
      <c r="K222" s="16"/>
      <c r="M222" s="59"/>
      <c r="N222" s="59"/>
      <c r="O222" s="59"/>
      <c r="P222" s="59"/>
      <c r="Q222" s="59"/>
      <c r="R222" s="59"/>
      <c r="S222" s="59"/>
      <c r="T222" s="59"/>
    </row>
    <row r="223" spans="2:20" ht="10.5" hidden="1" customHeight="1">
      <c r="B223" s="16"/>
      <c r="C223" s="16"/>
      <c r="D223" s="16"/>
      <c r="E223" s="16"/>
      <c r="F223" s="16"/>
      <c r="G223" s="16"/>
      <c r="H223" s="16"/>
      <c r="I223" s="16"/>
      <c r="J223" s="16"/>
      <c r="K223" s="16"/>
      <c r="M223" s="59"/>
      <c r="N223" s="59"/>
      <c r="O223" s="59"/>
      <c r="P223" s="59"/>
      <c r="Q223" s="59"/>
      <c r="R223" s="59"/>
      <c r="S223" s="59"/>
      <c r="T223" s="59"/>
    </row>
    <row r="224" spans="2:20" ht="10.5" hidden="1" customHeight="1">
      <c r="B224" s="16"/>
      <c r="C224" s="16"/>
      <c r="D224" s="16"/>
      <c r="E224" s="16"/>
      <c r="F224" s="16"/>
      <c r="G224" s="16"/>
      <c r="H224" s="16"/>
      <c r="I224" s="16"/>
      <c r="J224" s="16"/>
      <c r="K224" s="16"/>
      <c r="M224" s="59"/>
      <c r="N224" s="59"/>
      <c r="O224" s="59"/>
      <c r="P224" s="59"/>
      <c r="Q224" s="59"/>
      <c r="R224" s="59"/>
      <c r="S224" s="59"/>
      <c r="T224" s="59"/>
    </row>
    <row r="225" spans="2:20" ht="10.5" hidden="1" customHeight="1">
      <c r="B225" s="16"/>
      <c r="C225" s="16"/>
      <c r="D225" s="16"/>
      <c r="E225" s="16"/>
      <c r="F225" s="16"/>
      <c r="G225" s="16"/>
      <c r="H225" s="16"/>
      <c r="I225" s="16"/>
      <c r="J225" s="16"/>
      <c r="K225" s="16"/>
      <c r="M225" s="59"/>
      <c r="N225" s="59"/>
      <c r="O225" s="59"/>
      <c r="P225" s="59"/>
      <c r="Q225" s="59"/>
      <c r="R225" s="59"/>
      <c r="S225" s="59"/>
      <c r="T225" s="59"/>
    </row>
    <row r="226" spans="2:20" ht="10.5" hidden="1" customHeight="1">
      <c r="B226" s="16"/>
      <c r="C226" s="16"/>
      <c r="D226" s="16"/>
      <c r="E226" s="16"/>
      <c r="F226" s="16"/>
      <c r="G226" s="16"/>
      <c r="H226" s="16"/>
      <c r="I226" s="16"/>
      <c r="J226" s="16"/>
      <c r="K226" s="16"/>
      <c r="M226" s="59"/>
      <c r="N226" s="59"/>
      <c r="O226" s="59"/>
      <c r="P226" s="59"/>
      <c r="Q226" s="59"/>
      <c r="R226" s="59"/>
      <c r="S226" s="59"/>
      <c r="T226" s="59"/>
    </row>
    <row r="227" spans="2:20" ht="10.5" hidden="1" customHeight="1">
      <c r="B227" s="16"/>
      <c r="C227" s="16"/>
      <c r="D227" s="16"/>
      <c r="E227" s="16"/>
      <c r="F227" s="16"/>
      <c r="G227" s="16"/>
      <c r="H227" s="16"/>
      <c r="I227" s="16"/>
      <c r="J227" s="16"/>
      <c r="K227" s="16"/>
      <c r="M227" s="59"/>
      <c r="N227" s="59"/>
      <c r="O227" s="59"/>
      <c r="P227" s="59"/>
      <c r="Q227" s="59"/>
      <c r="R227" s="59"/>
      <c r="S227" s="59"/>
      <c r="T227" s="59"/>
    </row>
    <row r="228" spans="2:20" ht="10.5" hidden="1" customHeight="1">
      <c r="B228" s="16"/>
      <c r="C228" s="16"/>
      <c r="D228" s="16"/>
      <c r="E228" s="16"/>
      <c r="F228" s="16"/>
      <c r="G228" s="16"/>
      <c r="H228" s="16"/>
      <c r="I228" s="16"/>
      <c r="J228" s="16"/>
      <c r="K228" s="16"/>
      <c r="M228" s="59"/>
      <c r="N228" s="59"/>
      <c r="O228" s="59"/>
      <c r="P228" s="59"/>
      <c r="Q228" s="59"/>
      <c r="R228" s="59"/>
      <c r="S228" s="59"/>
      <c r="T228" s="59"/>
    </row>
    <row r="229" spans="2:20" ht="10.5" hidden="1" customHeight="1">
      <c r="B229" s="16"/>
      <c r="C229" s="16"/>
      <c r="D229" s="16"/>
      <c r="E229" s="16"/>
      <c r="F229" s="16"/>
      <c r="G229" s="16"/>
      <c r="H229" s="16"/>
      <c r="I229" s="16"/>
      <c r="J229" s="16"/>
      <c r="K229" s="16"/>
      <c r="M229" s="59"/>
      <c r="N229" s="59"/>
      <c r="O229" s="59"/>
      <c r="P229" s="59"/>
      <c r="Q229" s="59"/>
      <c r="R229" s="59"/>
      <c r="S229" s="59"/>
      <c r="T229" s="59"/>
    </row>
    <row r="230" spans="2:20" ht="10.5" hidden="1" customHeight="1">
      <c r="B230" s="16"/>
      <c r="C230" s="16"/>
      <c r="D230" s="16"/>
      <c r="E230" s="16"/>
      <c r="F230" s="16"/>
      <c r="G230" s="16"/>
      <c r="H230" s="16"/>
      <c r="I230" s="16"/>
      <c r="J230" s="16"/>
      <c r="K230" s="16"/>
      <c r="M230" s="59"/>
      <c r="N230" s="59"/>
      <c r="O230" s="59"/>
      <c r="P230" s="59"/>
      <c r="Q230" s="59"/>
      <c r="R230" s="59"/>
      <c r="S230" s="59"/>
      <c r="T230" s="59"/>
    </row>
    <row r="231" spans="2:20" ht="10.5" hidden="1" customHeight="1">
      <c r="B231" s="16"/>
      <c r="C231" s="16"/>
      <c r="D231" s="16"/>
      <c r="E231" s="16"/>
      <c r="F231" s="16"/>
      <c r="G231" s="16"/>
      <c r="H231" s="16"/>
      <c r="I231" s="16"/>
      <c r="J231" s="16"/>
      <c r="K231" s="16"/>
      <c r="M231" s="59"/>
      <c r="N231" s="59"/>
      <c r="O231" s="59"/>
      <c r="P231" s="59"/>
      <c r="Q231" s="59"/>
      <c r="R231" s="59"/>
      <c r="S231" s="59"/>
      <c r="T231" s="59"/>
    </row>
    <row r="232" spans="2:20" ht="10.5" hidden="1" customHeight="1">
      <c r="B232" s="16"/>
      <c r="C232" s="16"/>
      <c r="D232" s="16"/>
      <c r="E232" s="16"/>
      <c r="F232" s="16"/>
      <c r="G232" s="16"/>
      <c r="H232" s="16"/>
      <c r="I232" s="16"/>
      <c r="J232" s="16"/>
      <c r="K232" s="16"/>
      <c r="M232" s="59"/>
      <c r="N232" s="59"/>
      <c r="O232" s="59"/>
      <c r="P232" s="59"/>
      <c r="Q232" s="59"/>
      <c r="R232" s="59"/>
      <c r="S232" s="59"/>
      <c r="T232" s="59"/>
    </row>
    <row r="233" spans="2:20" ht="10.5" hidden="1" customHeight="1">
      <c r="B233" s="16"/>
      <c r="C233" s="16"/>
      <c r="D233" s="16"/>
      <c r="E233" s="16"/>
      <c r="F233" s="16"/>
      <c r="G233" s="16"/>
      <c r="H233" s="16"/>
      <c r="I233" s="16"/>
      <c r="J233" s="16"/>
      <c r="K233" s="16"/>
      <c r="M233" s="59"/>
      <c r="N233" s="59"/>
      <c r="O233" s="59"/>
      <c r="P233" s="59"/>
      <c r="Q233" s="59"/>
      <c r="R233" s="59"/>
      <c r="S233" s="59"/>
      <c r="T233" s="59"/>
    </row>
    <row r="234" spans="2:20" ht="10.5" hidden="1" customHeight="1">
      <c r="B234" s="16"/>
      <c r="C234" s="16"/>
      <c r="D234" s="16"/>
      <c r="E234" s="16"/>
      <c r="F234" s="16"/>
      <c r="G234" s="16"/>
      <c r="H234" s="16"/>
      <c r="I234" s="16"/>
      <c r="J234" s="16"/>
      <c r="K234" s="16"/>
      <c r="M234" s="59"/>
      <c r="N234" s="59"/>
      <c r="O234" s="59"/>
      <c r="P234" s="59"/>
      <c r="Q234" s="59"/>
      <c r="R234" s="59"/>
      <c r="S234" s="59"/>
      <c r="T234" s="59"/>
    </row>
    <row r="235" spans="2:20" ht="10.5" hidden="1" customHeight="1">
      <c r="B235" s="16"/>
      <c r="C235" s="16"/>
      <c r="D235" s="16"/>
      <c r="E235" s="16"/>
      <c r="F235" s="16"/>
      <c r="G235" s="16"/>
      <c r="H235" s="16"/>
      <c r="I235" s="16"/>
      <c r="J235" s="16"/>
      <c r="K235" s="16"/>
      <c r="M235" s="59"/>
      <c r="N235" s="59"/>
      <c r="O235" s="59"/>
      <c r="P235" s="59"/>
      <c r="Q235" s="59"/>
      <c r="R235" s="59"/>
      <c r="S235" s="59"/>
      <c r="T235" s="59"/>
    </row>
    <row r="236" spans="2:20" ht="10.5" hidden="1" customHeight="1">
      <c r="B236" s="16"/>
      <c r="C236" s="16"/>
      <c r="D236" s="16"/>
      <c r="E236" s="16"/>
      <c r="F236" s="16"/>
      <c r="G236" s="16"/>
      <c r="H236" s="16"/>
      <c r="I236" s="16"/>
      <c r="J236" s="16"/>
      <c r="K236" s="16"/>
      <c r="M236" s="59"/>
      <c r="N236" s="59"/>
      <c r="O236" s="59"/>
      <c r="P236" s="59"/>
      <c r="Q236" s="59"/>
      <c r="R236" s="59"/>
      <c r="S236" s="59"/>
      <c r="T236" s="59"/>
    </row>
    <row r="237" spans="2:20" ht="10.5" hidden="1" customHeight="1">
      <c r="B237" s="16"/>
      <c r="C237" s="16"/>
      <c r="D237" s="16"/>
      <c r="E237" s="16"/>
      <c r="F237" s="16"/>
      <c r="G237" s="16"/>
      <c r="H237" s="16"/>
      <c r="I237" s="16"/>
      <c r="J237" s="16"/>
      <c r="K237" s="16"/>
      <c r="M237" s="59"/>
      <c r="N237" s="59"/>
      <c r="O237" s="59"/>
      <c r="P237" s="59"/>
      <c r="Q237" s="59"/>
      <c r="R237" s="59"/>
      <c r="S237" s="59"/>
      <c r="T237" s="59"/>
    </row>
    <row r="238" spans="2:20" ht="10.5" hidden="1" customHeight="1">
      <c r="B238" s="16"/>
      <c r="C238" s="16"/>
      <c r="D238" s="16"/>
      <c r="E238" s="16"/>
      <c r="F238" s="16"/>
      <c r="G238" s="16"/>
      <c r="H238" s="16"/>
      <c r="I238" s="16"/>
      <c r="J238" s="16"/>
      <c r="K238" s="16"/>
      <c r="M238" s="59"/>
      <c r="N238" s="59"/>
      <c r="O238" s="59"/>
      <c r="P238" s="59"/>
      <c r="Q238" s="59"/>
      <c r="R238" s="59"/>
      <c r="S238" s="59"/>
      <c r="T238" s="59"/>
    </row>
    <row r="239" spans="2:20" ht="10.5" hidden="1" customHeight="1">
      <c r="B239" s="16"/>
      <c r="C239" s="16"/>
      <c r="D239" s="16"/>
      <c r="E239" s="16"/>
      <c r="F239" s="16"/>
      <c r="G239" s="16"/>
      <c r="H239" s="16"/>
      <c r="I239" s="16"/>
      <c r="J239" s="16"/>
      <c r="K239" s="16"/>
      <c r="M239" s="59"/>
      <c r="N239" s="59"/>
      <c r="O239" s="59"/>
      <c r="P239" s="59"/>
      <c r="Q239" s="59"/>
      <c r="R239" s="59"/>
      <c r="S239" s="59"/>
      <c r="T239" s="59"/>
    </row>
    <row r="240" spans="2:20" ht="10.5" hidden="1" customHeight="1">
      <c r="B240" s="16"/>
      <c r="C240" s="16"/>
      <c r="D240" s="16"/>
      <c r="E240" s="16"/>
      <c r="F240" s="16"/>
      <c r="G240" s="16"/>
      <c r="H240" s="16"/>
      <c r="I240" s="16"/>
      <c r="J240" s="16"/>
      <c r="K240" s="16"/>
      <c r="M240" s="59"/>
      <c r="N240" s="59"/>
      <c r="O240" s="59"/>
      <c r="P240" s="59"/>
      <c r="Q240" s="59"/>
      <c r="R240" s="59"/>
      <c r="S240" s="59"/>
      <c r="T240" s="59"/>
    </row>
    <row r="241" spans="2:20" ht="10.5" hidden="1" customHeight="1">
      <c r="B241" s="16"/>
      <c r="C241" s="16"/>
      <c r="D241" s="16"/>
      <c r="E241" s="16"/>
      <c r="F241" s="16"/>
      <c r="G241" s="16"/>
      <c r="H241" s="16"/>
      <c r="I241" s="16"/>
      <c r="J241" s="16"/>
      <c r="K241" s="16"/>
      <c r="M241" s="59"/>
      <c r="N241" s="59"/>
      <c r="O241" s="59"/>
      <c r="P241" s="59"/>
      <c r="Q241" s="59"/>
      <c r="R241" s="59"/>
      <c r="S241" s="59"/>
      <c r="T241" s="59"/>
    </row>
    <row r="242" spans="2:20" ht="10.5" hidden="1" customHeight="1">
      <c r="B242" s="16"/>
      <c r="C242" s="16"/>
      <c r="D242" s="16"/>
      <c r="E242" s="16"/>
      <c r="F242" s="16"/>
      <c r="G242" s="16"/>
      <c r="H242" s="16"/>
      <c r="I242" s="16"/>
      <c r="J242" s="16"/>
      <c r="K242" s="16"/>
      <c r="M242" s="59"/>
      <c r="N242" s="59"/>
      <c r="O242" s="59"/>
      <c r="P242" s="59"/>
      <c r="Q242" s="59"/>
      <c r="R242" s="59"/>
      <c r="S242" s="59"/>
      <c r="T242" s="59"/>
    </row>
    <row r="243" spans="2:20" ht="10.5" hidden="1" customHeight="1">
      <c r="B243" s="16"/>
      <c r="C243" s="16"/>
      <c r="D243" s="16"/>
      <c r="E243" s="16"/>
      <c r="F243" s="16"/>
      <c r="G243" s="16"/>
      <c r="H243" s="16"/>
      <c r="I243" s="16"/>
      <c r="J243" s="16"/>
      <c r="K243" s="16"/>
      <c r="M243" s="59"/>
      <c r="N243" s="59"/>
      <c r="O243" s="59"/>
      <c r="P243" s="59"/>
      <c r="Q243" s="59"/>
      <c r="R243" s="59"/>
      <c r="S243" s="59"/>
      <c r="T243" s="59"/>
    </row>
    <row r="244" spans="2:20" ht="10.5" hidden="1" customHeight="1">
      <c r="B244" s="16"/>
      <c r="C244" s="16"/>
      <c r="D244" s="16"/>
      <c r="E244" s="16"/>
      <c r="F244" s="16"/>
      <c r="G244" s="16"/>
      <c r="H244" s="16"/>
      <c r="I244" s="16"/>
      <c r="J244" s="16"/>
      <c r="K244" s="16"/>
      <c r="M244" s="59"/>
      <c r="N244" s="59"/>
      <c r="O244" s="59"/>
      <c r="P244" s="59"/>
      <c r="Q244" s="59"/>
      <c r="R244" s="59"/>
      <c r="S244" s="59"/>
      <c r="T244" s="59"/>
    </row>
    <row r="245" spans="2:20" ht="10.5" hidden="1" customHeight="1">
      <c r="B245" s="16"/>
      <c r="C245" s="16"/>
      <c r="D245" s="16"/>
      <c r="E245" s="16"/>
      <c r="F245" s="16"/>
      <c r="G245" s="16"/>
      <c r="H245" s="16"/>
      <c r="I245" s="16"/>
      <c r="J245" s="16"/>
      <c r="K245" s="16"/>
      <c r="M245" s="59"/>
      <c r="N245" s="59"/>
      <c r="O245" s="59"/>
      <c r="P245" s="59"/>
      <c r="Q245" s="59"/>
      <c r="R245" s="59"/>
      <c r="S245" s="59"/>
      <c r="T245" s="59"/>
    </row>
    <row r="246" spans="2:20" ht="10.5" hidden="1" customHeight="1">
      <c r="B246" s="16"/>
      <c r="C246" s="16"/>
      <c r="D246" s="16"/>
      <c r="E246" s="16"/>
      <c r="F246" s="16"/>
      <c r="G246" s="16"/>
      <c r="H246" s="16"/>
      <c r="I246" s="16"/>
      <c r="J246" s="16"/>
      <c r="K246" s="16"/>
      <c r="M246" s="59"/>
      <c r="N246" s="59"/>
      <c r="O246" s="59"/>
      <c r="P246" s="59"/>
      <c r="Q246" s="59"/>
      <c r="R246" s="59"/>
      <c r="S246" s="59"/>
      <c r="T246" s="59"/>
    </row>
    <row r="247" spans="2:20" ht="10.5" hidden="1" customHeight="1">
      <c r="B247" s="16"/>
      <c r="C247" s="16"/>
      <c r="D247" s="16"/>
      <c r="E247" s="16"/>
      <c r="F247" s="16"/>
      <c r="G247" s="16"/>
      <c r="H247" s="16"/>
      <c r="I247" s="16"/>
      <c r="J247" s="16"/>
      <c r="K247" s="16"/>
      <c r="M247" s="59"/>
      <c r="N247" s="59"/>
      <c r="O247" s="59"/>
      <c r="P247" s="59"/>
      <c r="Q247" s="59"/>
      <c r="R247" s="59"/>
      <c r="S247" s="59"/>
      <c r="T247" s="59"/>
    </row>
    <row r="248" spans="2:20" ht="10.5" hidden="1" customHeight="1">
      <c r="B248" s="16"/>
      <c r="C248" s="16"/>
      <c r="D248" s="16"/>
      <c r="E248" s="16"/>
      <c r="F248" s="16"/>
      <c r="G248" s="16"/>
      <c r="H248" s="16"/>
      <c r="I248" s="16"/>
      <c r="J248" s="16"/>
      <c r="K248" s="16"/>
      <c r="M248" s="59"/>
      <c r="N248" s="59"/>
      <c r="O248" s="59"/>
      <c r="P248" s="59"/>
      <c r="Q248" s="59"/>
      <c r="R248" s="59"/>
      <c r="S248" s="59"/>
      <c r="T248" s="59"/>
    </row>
    <row r="249" spans="2:20" ht="10.5" hidden="1" customHeight="1">
      <c r="B249" s="16"/>
      <c r="C249" s="16"/>
      <c r="D249" s="16"/>
      <c r="E249" s="16"/>
      <c r="F249" s="16"/>
      <c r="G249" s="16"/>
      <c r="H249" s="16"/>
      <c r="I249" s="16"/>
      <c r="J249" s="16"/>
      <c r="K249" s="16"/>
      <c r="M249" s="59"/>
      <c r="N249" s="59"/>
      <c r="O249" s="59"/>
      <c r="P249" s="59"/>
      <c r="Q249" s="59"/>
      <c r="R249" s="59"/>
      <c r="S249" s="59"/>
      <c r="T249" s="59"/>
    </row>
    <row r="250" spans="2:20" ht="10.5" hidden="1" customHeight="1">
      <c r="B250" s="16"/>
      <c r="C250" s="16"/>
      <c r="D250" s="16"/>
      <c r="E250" s="16"/>
      <c r="F250" s="16"/>
      <c r="G250" s="16"/>
      <c r="H250" s="16"/>
      <c r="I250" s="16"/>
      <c r="J250" s="16"/>
      <c r="K250" s="16"/>
      <c r="M250" s="59"/>
      <c r="N250" s="59"/>
      <c r="O250" s="59"/>
      <c r="P250" s="59"/>
      <c r="Q250" s="59"/>
      <c r="R250" s="59"/>
      <c r="S250" s="59"/>
      <c r="T250" s="59"/>
    </row>
    <row r="251" spans="2:20" ht="10.5" hidden="1" customHeight="1">
      <c r="B251" s="16"/>
      <c r="C251" s="16"/>
      <c r="D251" s="16"/>
      <c r="E251" s="16"/>
      <c r="F251" s="16"/>
      <c r="G251" s="16"/>
      <c r="H251" s="16"/>
      <c r="I251" s="16"/>
      <c r="J251" s="16"/>
      <c r="K251" s="16"/>
      <c r="M251" s="59"/>
      <c r="N251" s="59"/>
      <c r="O251" s="59"/>
      <c r="P251" s="59"/>
      <c r="Q251" s="59"/>
      <c r="R251" s="59"/>
      <c r="S251" s="59"/>
      <c r="T251" s="59"/>
    </row>
    <row r="252" spans="2:20" ht="10.5" hidden="1" customHeight="1">
      <c r="B252" s="16"/>
      <c r="C252" s="16"/>
      <c r="D252" s="16"/>
      <c r="E252" s="16"/>
      <c r="F252" s="16"/>
      <c r="G252" s="16"/>
      <c r="H252" s="16"/>
      <c r="I252" s="16"/>
      <c r="J252" s="16"/>
      <c r="K252" s="16"/>
      <c r="M252" s="59"/>
      <c r="N252" s="59"/>
      <c r="O252" s="59"/>
      <c r="P252" s="59"/>
      <c r="Q252" s="59"/>
      <c r="R252" s="59"/>
      <c r="S252" s="59"/>
      <c r="T252" s="59"/>
    </row>
    <row r="253" spans="2:20" ht="10.5" hidden="1" customHeight="1">
      <c r="B253" s="16"/>
      <c r="C253" s="16"/>
      <c r="D253" s="16"/>
      <c r="E253" s="16"/>
      <c r="F253" s="16"/>
      <c r="G253" s="16"/>
      <c r="H253" s="16"/>
      <c r="I253" s="16"/>
      <c r="J253" s="16"/>
      <c r="K253" s="16"/>
      <c r="M253" s="59"/>
      <c r="N253" s="59"/>
      <c r="O253" s="59"/>
      <c r="P253" s="59"/>
      <c r="Q253" s="59"/>
      <c r="R253" s="59"/>
      <c r="S253" s="59"/>
      <c r="T253" s="59"/>
    </row>
    <row r="254" spans="2:20" ht="10.5" hidden="1" customHeight="1">
      <c r="B254" s="16"/>
      <c r="C254" s="16"/>
      <c r="D254" s="16"/>
      <c r="E254" s="16"/>
      <c r="F254" s="16"/>
      <c r="G254" s="16"/>
      <c r="H254" s="16"/>
      <c r="I254" s="16"/>
      <c r="J254" s="16"/>
      <c r="K254" s="16"/>
      <c r="M254" s="59"/>
      <c r="N254" s="59"/>
      <c r="O254" s="59"/>
      <c r="P254" s="59"/>
      <c r="Q254" s="59"/>
      <c r="R254" s="59"/>
      <c r="S254" s="59"/>
      <c r="T254" s="59"/>
    </row>
    <row r="255" spans="2:20" ht="10.5" hidden="1" customHeight="1">
      <c r="B255" s="16"/>
      <c r="C255" s="16"/>
      <c r="D255" s="16"/>
      <c r="E255" s="16"/>
      <c r="F255" s="16"/>
      <c r="G255" s="16"/>
      <c r="H255" s="16"/>
      <c r="I255" s="16"/>
      <c r="J255" s="16"/>
      <c r="K255" s="16"/>
      <c r="M255" s="59"/>
      <c r="N255" s="59"/>
      <c r="O255" s="59"/>
      <c r="P255" s="59"/>
      <c r="Q255" s="59"/>
      <c r="R255" s="59"/>
      <c r="S255" s="59"/>
      <c r="T255" s="59"/>
    </row>
    <row r="256" spans="2:20" ht="10.5" hidden="1" customHeight="1">
      <c r="B256" s="16"/>
      <c r="C256" s="16"/>
      <c r="D256" s="16"/>
      <c r="E256" s="16"/>
      <c r="F256" s="16"/>
      <c r="G256" s="16"/>
      <c r="H256" s="16"/>
      <c r="I256" s="16"/>
      <c r="J256" s="16"/>
      <c r="K256" s="16"/>
      <c r="M256" s="59"/>
      <c r="N256" s="59"/>
      <c r="O256" s="59"/>
      <c r="P256" s="59"/>
      <c r="Q256" s="59"/>
      <c r="R256" s="59"/>
      <c r="S256" s="59"/>
      <c r="T256" s="59"/>
    </row>
    <row r="257" spans="2:20" ht="10.5" hidden="1" customHeight="1">
      <c r="B257" s="16"/>
      <c r="C257" s="16"/>
      <c r="D257" s="16"/>
      <c r="E257" s="16"/>
      <c r="F257" s="16"/>
      <c r="G257" s="16"/>
      <c r="H257" s="16"/>
      <c r="I257" s="16"/>
      <c r="J257" s="16"/>
      <c r="K257" s="16"/>
      <c r="M257" s="59"/>
      <c r="N257" s="59"/>
      <c r="O257" s="59"/>
      <c r="P257" s="59"/>
      <c r="Q257" s="59"/>
      <c r="R257" s="59"/>
      <c r="S257" s="59"/>
      <c r="T257" s="59"/>
    </row>
    <row r="258" spans="2:20" ht="10.5" hidden="1" customHeight="1">
      <c r="B258" s="16"/>
      <c r="C258" s="16"/>
      <c r="D258" s="16"/>
      <c r="E258" s="16"/>
      <c r="F258" s="16"/>
      <c r="G258" s="16"/>
      <c r="H258" s="16"/>
      <c r="I258" s="16"/>
      <c r="J258" s="16"/>
      <c r="K258" s="16"/>
      <c r="M258" s="59"/>
      <c r="N258" s="59"/>
      <c r="O258" s="59"/>
      <c r="P258" s="59"/>
      <c r="Q258" s="59"/>
      <c r="R258" s="59"/>
      <c r="S258" s="59"/>
      <c r="T258" s="59"/>
    </row>
    <row r="259" spans="2:20" ht="10.5" hidden="1" customHeight="1">
      <c r="B259" s="16"/>
      <c r="C259" s="16"/>
      <c r="D259" s="16"/>
      <c r="E259" s="16"/>
      <c r="F259" s="16"/>
      <c r="G259" s="16"/>
      <c r="H259" s="16"/>
      <c r="I259" s="16"/>
      <c r="J259" s="16"/>
      <c r="K259" s="16"/>
      <c r="M259" s="59"/>
      <c r="N259" s="59"/>
      <c r="O259" s="59"/>
      <c r="P259" s="59"/>
      <c r="Q259" s="59"/>
      <c r="R259" s="59"/>
      <c r="S259" s="59"/>
      <c r="T259" s="59"/>
    </row>
    <row r="260" spans="2:20" ht="10.5" hidden="1" customHeight="1">
      <c r="B260" s="16"/>
      <c r="C260" s="16"/>
      <c r="D260" s="16"/>
      <c r="E260" s="16"/>
      <c r="F260" s="16"/>
      <c r="G260" s="16"/>
      <c r="H260" s="16"/>
      <c r="I260" s="16"/>
      <c r="J260" s="16"/>
      <c r="K260" s="16"/>
      <c r="M260" s="59"/>
      <c r="N260" s="59"/>
      <c r="O260" s="59"/>
      <c r="P260" s="59"/>
      <c r="Q260" s="59"/>
      <c r="R260" s="59"/>
      <c r="S260" s="59"/>
      <c r="T260" s="59"/>
    </row>
    <row r="261" spans="2:20" ht="10.5" hidden="1" customHeight="1">
      <c r="B261" s="16"/>
      <c r="C261" s="16"/>
      <c r="D261" s="16"/>
      <c r="E261" s="16"/>
      <c r="F261" s="16"/>
      <c r="G261" s="16"/>
      <c r="H261" s="16"/>
      <c r="I261" s="16"/>
      <c r="J261" s="16"/>
      <c r="K261" s="16"/>
      <c r="M261" s="59"/>
      <c r="N261" s="59"/>
      <c r="O261" s="59"/>
      <c r="P261" s="59"/>
      <c r="Q261" s="59"/>
      <c r="R261" s="59"/>
      <c r="S261" s="59"/>
      <c r="T261" s="59"/>
    </row>
    <row r="262" spans="2:20" ht="10.5" hidden="1" customHeight="1">
      <c r="B262" s="16"/>
      <c r="C262" s="16"/>
      <c r="D262" s="16"/>
      <c r="E262" s="16"/>
      <c r="F262" s="16"/>
      <c r="G262" s="16"/>
      <c r="H262" s="16"/>
      <c r="I262" s="16"/>
      <c r="J262" s="16"/>
      <c r="K262" s="16"/>
      <c r="M262" s="59"/>
      <c r="N262" s="59"/>
      <c r="O262" s="59"/>
      <c r="P262" s="59"/>
      <c r="Q262" s="59"/>
      <c r="R262" s="59"/>
      <c r="S262" s="59"/>
      <c r="T262" s="59"/>
    </row>
    <row r="263" spans="2:20" ht="10.5" hidden="1" customHeight="1">
      <c r="B263" s="16"/>
      <c r="C263" s="16"/>
      <c r="D263" s="16"/>
      <c r="E263" s="16"/>
      <c r="F263" s="16"/>
      <c r="G263" s="16"/>
      <c r="H263" s="16"/>
      <c r="I263" s="16"/>
      <c r="J263" s="16"/>
      <c r="K263" s="16"/>
      <c r="M263" s="59"/>
      <c r="N263" s="59"/>
      <c r="O263" s="59"/>
      <c r="P263" s="59"/>
      <c r="Q263" s="59"/>
      <c r="R263" s="59"/>
      <c r="S263" s="59"/>
      <c r="T263" s="59"/>
    </row>
    <row r="264" spans="2:20" ht="10.5" hidden="1" customHeight="1">
      <c r="B264" s="16"/>
      <c r="C264" s="16"/>
      <c r="D264" s="16"/>
      <c r="E264" s="16"/>
      <c r="F264" s="16"/>
      <c r="G264" s="16"/>
      <c r="H264" s="16"/>
      <c r="I264" s="16"/>
      <c r="J264" s="16"/>
      <c r="K264" s="16"/>
      <c r="M264" s="59"/>
      <c r="N264" s="59"/>
      <c r="O264" s="59"/>
      <c r="P264" s="59"/>
      <c r="Q264" s="59"/>
      <c r="R264" s="59"/>
      <c r="S264" s="59"/>
      <c r="T264" s="59"/>
    </row>
    <row r="265" spans="2:20" ht="10.5" hidden="1" customHeight="1">
      <c r="B265" s="16"/>
      <c r="C265" s="16"/>
      <c r="D265" s="16"/>
      <c r="E265" s="16"/>
      <c r="F265" s="16"/>
      <c r="G265" s="16"/>
      <c r="H265" s="16"/>
      <c r="I265" s="16"/>
      <c r="J265" s="16"/>
      <c r="K265" s="16"/>
      <c r="M265" s="59"/>
      <c r="N265" s="59"/>
      <c r="O265" s="59"/>
      <c r="P265" s="59"/>
      <c r="Q265" s="59"/>
      <c r="R265" s="59"/>
      <c r="S265" s="59"/>
      <c r="T265" s="59"/>
    </row>
    <row r="266" spans="2:20" ht="10.5" hidden="1" customHeight="1">
      <c r="B266" s="16"/>
      <c r="C266" s="16"/>
      <c r="D266" s="16"/>
      <c r="E266" s="16"/>
      <c r="F266" s="20"/>
      <c r="G266" s="20"/>
      <c r="H266" s="20"/>
      <c r="I266" s="16"/>
      <c r="J266" s="16"/>
      <c r="K266" s="16"/>
      <c r="M266" s="59"/>
      <c r="N266" s="59"/>
      <c r="O266" s="59"/>
      <c r="P266" s="59"/>
      <c r="Q266" s="59"/>
      <c r="R266" s="59"/>
      <c r="S266" s="59"/>
      <c r="T266" s="59"/>
    </row>
    <row r="267" spans="2:20" ht="10.5" hidden="1" customHeight="1">
      <c r="B267" s="16"/>
      <c r="C267" s="16"/>
      <c r="D267" s="16"/>
      <c r="E267" s="16"/>
      <c r="F267" s="20"/>
      <c r="G267" s="20"/>
      <c r="H267" s="20"/>
      <c r="I267" s="16"/>
      <c r="J267" s="16"/>
      <c r="K267" s="16"/>
      <c r="M267" s="59"/>
      <c r="N267" s="59"/>
      <c r="O267" s="59"/>
      <c r="P267" s="59"/>
      <c r="Q267" s="59"/>
      <c r="R267" s="59"/>
      <c r="S267" s="59"/>
      <c r="T267" s="59"/>
    </row>
    <row r="268" spans="2:20" ht="10.5" hidden="1" customHeight="1">
      <c r="B268" s="16"/>
      <c r="C268" s="16"/>
      <c r="D268" s="16"/>
      <c r="E268" s="16"/>
      <c r="F268" s="20"/>
      <c r="G268" s="20"/>
      <c r="H268" s="20"/>
      <c r="I268" s="16"/>
      <c r="J268" s="16"/>
      <c r="K268" s="16"/>
      <c r="M268" s="59"/>
      <c r="N268" s="59"/>
      <c r="O268" s="59"/>
      <c r="P268" s="59"/>
      <c r="Q268" s="59"/>
      <c r="R268" s="59"/>
      <c r="S268" s="59"/>
      <c r="T268" s="59"/>
    </row>
    <row r="269" spans="2:20" ht="10.5" hidden="1" customHeight="1">
      <c r="B269" s="16"/>
      <c r="C269" s="16"/>
      <c r="D269" s="16"/>
      <c r="E269" s="16"/>
      <c r="F269" s="20"/>
      <c r="G269" s="20"/>
      <c r="H269" s="20"/>
      <c r="I269" s="16"/>
      <c r="J269" s="16"/>
      <c r="K269" s="16"/>
      <c r="M269" s="59"/>
      <c r="N269" s="59"/>
      <c r="O269" s="59"/>
      <c r="P269" s="59"/>
      <c r="Q269" s="59"/>
      <c r="R269" s="59"/>
      <c r="S269" s="59"/>
      <c r="T269" s="59"/>
    </row>
    <row r="270" spans="2:20" ht="10.5" hidden="1" customHeight="1">
      <c r="B270" s="16"/>
      <c r="C270" s="16"/>
      <c r="D270" s="16"/>
      <c r="E270" s="16"/>
      <c r="F270" s="20"/>
      <c r="G270" s="20"/>
      <c r="H270" s="20"/>
      <c r="I270" s="16"/>
      <c r="J270" s="16"/>
      <c r="K270" s="16"/>
      <c r="M270" s="59"/>
      <c r="N270" s="59"/>
      <c r="O270" s="59"/>
      <c r="P270" s="59"/>
      <c r="Q270" s="59"/>
      <c r="R270" s="59"/>
      <c r="S270" s="59"/>
      <c r="T270" s="59"/>
    </row>
    <row r="271" spans="2:20" ht="10.5" hidden="1" customHeight="1">
      <c r="B271" s="16"/>
      <c r="C271" s="16"/>
      <c r="D271" s="16"/>
      <c r="E271" s="16"/>
      <c r="F271" s="20"/>
      <c r="G271" s="20"/>
      <c r="H271" s="20"/>
      <c r="I271" s="16"/>
      <c r="J271" s="16"/>
      <c r="K271" s="16"/>
      <c r="M271" s="59"/>
      <c r="N271" s="59"/>
      <c r="O271" s="59"/>
      <c r="P271" s="59"/>
      <c r="Q271" s="59"/>
      <c r="R271" s="59"/>
      <c r="S271" s="59"/>
      <c r="T271" s="59"/>
    </row>
    <row r="272" spans="2:20" ht="10.5" hidden="1" customHeight="1">
      <c r="B272" s="16"/>
      <c r="C272" s="16"/>
      <c r="D272" s="16"/>
      <c r="E272" s="16"/>
      <c r="F272" s="20"/>
      <c r="G272" s="20"/>
      <c r="H272" s="20"/>
      <c r="I272" s="16"/>
      <c r="J272" s="16"/>
      <c r="K272" s="16"/>
      <c r="M272" s="59"/>
      <c r="N272" s="59"/>
      <c r="O272" s="59"/>
      <c r="P272" s="59"/>
      <c r="Q272" s="59"/>
      <c r="R272" s="59"/>
      <c r="S272" s="59"/>
      <c r="T272" s="59"/>
    </row>
    <row r="273" spans="2:20" ht="10.5" hidden="1" customHeight="1">
      <c r="B273" s="16"/>
      <c r="C273" s="16"/>
      <c r="D273" s="16"/>
      <c r="E273" s="16"/>
      <c r="F273" s="20"/>
      <c r="G273" s="20"/>
      <c r="H273" s="20"/>
      <c r="I273" s="16"/>
      <c r="J273" s="16"/>
      <c r="K273" s="16"/>
      <c r="M273" s="59"/>
      <c r="N273" s="59"/>
      <c r="O273" s="59"/>
      <c r="P273" s="59"/>
      <c r="Q273" s="59"/>
      <c r="R273" s="59"/>
      <c r="S273" s="59"/>
      <c r="T273" s="59"/>
    </row>
    <row r="274" spans="2:20" ht="10.5" hidden="1" customHeight="1">
      <c r="B274" s="16"/>
      <c r="C274" s="16"/>
      <c r="D274" s="16"/>
      <c r="E274" s="16"/>
      <c r="F274" s="20"/>
      <c r="G274" s="20"/>
      <c r="H274" s="20"/>
      <c r="I274" s="16"/>
      <c r="J274" s="16"/>
      <c r="K274" s="16"/>
      <c r="M274" s="59"/>
      <c r="N274" s="59"/>
      <c r="O274" s="59"/>
      <c r="P274" s="59"/>
      <c r="Q274" s="59"/>
      <c r="R274" s="59"/>
      <c r="S274" s="59"/>
      <c r="T274" s="59"/>
    </row>
    <row r="275" spans="2:20" ht="10.5" hidden="1" customHeight="1">
      <c r="B275" s="16"/>
      <c r="C275" s="16"/>
      <c r="D275" s="16"/>
      <c r="E275" s="16"/>
      <c r="F275" s="20"/>
      <c r="G275" s="20"/>
      <c r="H275" s="20"/>
      <c r="I275" s="16"/>
      <c r="J275" s="16"/>
      <c r="K275" s="16"/>
      <c r="M275" s="59"/>
      <c r="N275" s="59"/>
      <c r="O275" s="59"/>
      <c r="P275" s="59"/>
      <c r="Q275" s="59"/>
      <c r="R275" s="59"/>
      <c r="S275" s="59"/>
      <c r="T275" s="59"/>
    </row>
    <row r="276" spans="2:20" ht="10.5" hidden="1" customHeight="1">
      <c r="B276" s="16"/>
      <c r="C276" s="16"/>
      <c r="D276" s="16"/>
      <c r="E276" s="16"/>
      <c r="F276" s="20"/>
      <c r="G276" s="20"/>
      <c r="H276" s="20"/>
      <c r="I276" s="16"/>
      <c r="J276" s="16"/>
      <c r="K276" s="16"/>
      <c r="M276" s="59"/>
      <c r="N276" s="59"/>
      <c r="O276" s="59"/>
      <c r="P276" s="59"/>
      <c r="Q276" s="59"/>
      <c r="R276" s="59"/>
      <c r="S276" s="59"/>
      <c r="T276" s="59"/>
    </row>
    <row r="277" spans="2:20" ht="10.5" hidden="1" customHeight="1">
      <c r="B277" s="16"/>
      <c r="C277" s="16"/>
      <c r="D277" s="16"/>
      <c r="E277" s="16"/>
      <c r="F277" s="16"/>
      <c r="G277" s="16"/>
      <c r="H277" s="16"/>
      <c r="I277" s="16"/>
      <c r="J277" s="16"/>
      <c r="K277" s="16"/>
      <c r="M277" s="59"/>
      <c r="N277" s="59"/>
      <c r="O277" s="59"/>
      <c r="P277" s="59"/>
      <c r="Q277" s="59"/>
      <c r="R277" s="59"/>
      <c r="S277" s="59"/>
      <c r="T277" s="59"/>
    </row>
    <row r="278" spans="2:20" ht="10.5" hidden="1" customHeight="1">
      <c r="B278" s="16"/>
      <c r="C278" s="16"/>
      <c r="D278" s="16"/>
      <c r="E278" s="16"/>
      <c r="F278" s="16"/>
      <c r="G278" s="16"/>
      <c r="H278" s="16"/>
      <c r="I278" s="16"/>
      <c r="J278" s="16"/>
      <c r="K278" s="16"/>
      <c r="M278" s="59"/>
      <c r="N278" s="59"/>
      <c r="O278" s="59"/>
      <c r="P278" s="59"/>
      <c r="Q278" s="59"/>
      <c r="R278" s="59"/>
      <c r="S278" s="59"/>
      <c r="T278" s="59"/>
    </row>
    <row r="279" spans="2:20" ht="10.5" hidden="1" customHeight="1">
      <c r="B279" s="16"/>
      <c r="C279" s="16"/>
      <c r="D279" s="16"/>
      <c r="E279" s="16"/>
      <c r="F279" s="16"/>
      <c r="G279" s="16"/>
      <c r="H279" s="16"/>
      <c r="I279" s="16"/>
      <c r="J279" s="16"/>
      <c r="K279" s="16"/>
      <c r="M279" s="59"/>
      <c r="N279" s="59"/>
      <c r="O279" s="59"/>
      <c r="P279" s="59"/>
      <c r="Q279" s="59"/>
      <c r="R279" s="59"/>
      <c r="S279" s="59"/>
      <c r="T279" s="59"/>
    </row>
    <row r="280" spans="2:20" ht="10.5" hidden="1" customHeight="1">
      <c r="B280" s="16"/>
      <c r="C280" s="16"/>
      <c r="D280" s="16"/>
      <c r="E280" s="16"/>
      <c r="F280" s="16"/>
      <c r="G280" s="16"/>
      <c r="H280" s="16"/>
      <c r="I280" s="16"/>
      <c r="J280" s="16"/>
      <c r="K280" s="16"/>
      <c r="M280" s="59"/>
      <c r="N280" s="59"/>
      <c r="O280" s="59"/>
      <c r="P280" s="59"/>
      <c r="Q280" s="59"/>
      <c r="R280" s="59"/>
      <c r="S280" s="59"/>
      <c r="T280" s="59"/>
    </row>
    <row r="281" spans="2:20" ht="10.5" hidden="1" customHeight="1">
      <c r="B281" s="16"/>
      <c r="C281" s="16"/>
      <c r="D281" s="16"/>
      <c r="E281" s="16"/>
      <c r="F281" s="16"/>
      <c r="G281" s="16"/>
      <c r="H281" s="16"/>
      <c r="I281" s="16"/>
      <c r="J281" s="16"/>
      <c r="K281" s="16"/>
      <c r="M281" s="59"/>
      <c r="N281" s="59"/>
      <c r="O281" s="59"/>
      <c r="P281" s="59"/>
      <c r="Q281" s="59"/>
      <c r="R281" s="59"/>
      <c r="S281" s="59"/>
      <c r="T281" s="59"/>
    </row>
    <row r="282" spans="2:20" ht="10.5" hidden="1" customHeight="1">
      <c r="B282" s="16"/>
      <c r="C282" s="16"/>
      <c r="D282" s="16"/>
      <c r="E282" s="16"/>
      <c r="F282" s="16"/>
      <c r="G282" s="16"/>
      <c r="H282" s="16"/>
      <c r="I282" s="16"/>
      <c r="J282" s="16"/>
      <c r="K282" s="16"/>
      <c r="M282" s="59"/>
      <c r="N282" s="59"/>
      <c r="O282" s="59"/>
      <c r="P282" s="59"/>
      <c r="Q282" s="59"/>
      <c r="R282" s="59"/>
      <c r="S282" s="59"/>
      <c r="T282" s="59"/>
    </row>
    <row r="283" spans="2:20" ht="10.5" hidden="1" customHeight="1">
      <c r="B283" s="16"/>
      <c r="C283" s="16"/>
      <c r="D283" s="16"/>
      <c r="E283" s="16"/>
      <c r="F283" s="16"/>
      <c r="G283" s="16"/>
      <c r="H283" s="16"/>
      <c r="I283" s="16"/>
      <c r="J283" s="16"/>
      <c r="K283" s="16"/>
      <c r="M283" s="59"/>
      <c r="N283" s="59"/>
      <c r="O283" s="59"/>
      <c r="P283" s="59"/>
      <c r="Q283" s="59"/>
      <c r="R283" s="59"/>
      <c r="S283" s="59"/>
      <c r="T283" s="59"/>
    </row>
    <row r="284" spans="2:20" ht="10.5" hidden="1" customHeight="1">
      <c r="B284" s="16"/>
      <c r="C284" s="16"/>
      <c r="D284" s="16"/>
      <c r="E284" s="16"/>
      <c r="F284" s="16"/>
      <c r="G284" s="16"/>
      <c r="H284" s="16"/>
      <c r="I284" s="16"/>
      <c r="J284" s="16"/>
      <c r="K284" s="16"/>
      <c r="M284" s="59"/>
      <c r="N284" s="59"/>
      <c r="O284" s="59"/>
      <c r="P284" s="59"/>
      <c r="Q284" s="59"/>
      <c r="R284" s="59"/>
      <c r="S284" s="59"/>
      <c r="T284" s="59"/>
    </row>
    <row r="285" spans="2:20" ht="10.5" hidden="1" customHeight="1"/>
    <row r="286" spans="2:20" ht="10.5" hidden="1" customHeight="1"/>
    <row r="287" spans="2:20" ht="10.5" hidden="1" customHeight="1"/>
    <row r="288" spans="2:20" ht="10.5" hidden="1" customHeight="1"/>
    <row r="289" ht="10.5" hidden="1" customHeight="1"/>
    <row r="290" ht="10.5" hidden="1" customHeight="1"/>
    <row r="291" ht="10.5" hidden="1" customHeight="1"/>
    <row r="292" ht="10.5" hidden="1" customHeight="1"/>
    <row r="293" ht="10.5" hidden="1" customHeight="1"/>
    <row r="294" ht="10.5" hidden="1" customHeight="1"/>
    <row r="295" ht="10.5" hidden="1" customHeight="1"/>
    <row r="296" ht="10.5" hidden="1" customHeight="1"/>
    <row r="297" ht="10.5" hidden="1" customHeight="1"/>
    <row r="298" ht="10.5" hidden="1" customHeight="1"/>
    <row r="299" ht="10.5" hidden="1" customHeight="1"/>
    <row r="300"/>
    <row r="301"/>
  </sheetData>
  <sheetProtection algorithmName="SHA-512" hashValue="5sgvCx9NasJVV6UL86GuYaHE83itmJM/fO18kyoa5Aa6NodqvHCoJ0aT3m9+7DVsKq5/g2hYsbmOXQ91zF0tVw==" saltValue="4VWdXFuyxlH8RN7Lsq3HQQ==" spinCount="100000" sheet="1" objects="1" scenarios="1" selectLockedCells="1"/>
  <mergeCells count="6">
    <mergeCell ref="U11:U12"/>
    <mergeCell ref="B50:D50"/>
    <mergeCell ref="B57:D57"/>
    <mergeCell ref="B3:S3"/>
    <mergeCell ref="B2:S2"/>
    <mergeCell ref="B9:S9"/>
  </mergeCells>
  <phoneticPr fontId="2" type="noConversion"/>
  <pageMargins left="0.75" right="0.75" top="1" bottom="1" header="0" footer="0"/>
  <pageSetup scale="67" orientation="portrait" verticalDpi="599" r:id="rId1"/>
  <headerFooter alignWithMargins="0"/>
  <ignoredErrors>
    <ignoredError sqref="P12" formula="1"/>
    <ignoredError sqref="S4 G4:G6" unlockedFormula="1"/>
  </ignoredErrors>
  <tableParts count="1">
    <tablePart r:id="rId2"/>
  </tableParts>
</worksheet>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Simulador TC XL</vt:lpstr>
      <vt:lpstr>Simulador Efectivo LP</vt:lpstr>
      <vt:lpstr>Ciclos</vt:lpstr>
      <vt:lpstr>Dias</vt:lpstr>
      <vt:lpstr>Fact</vt:lpstr>
      <vt:lpstr>NomTipo</vt:lpstr>
      <vt:lpstr>Pagos</vt:lpstr>
      <vt:lpstr>Plazo</vt:lpstr>
      <vt:lpstr>SDMax</vt:lpstr>
      <vt:lpstr>SegDesg</vt:lpstr>
      <vt:lpstr>Tipo</vt:lpstr>
    </vt:vector>
  </TitlesOfParts>
  <Company>Scotiabank Perú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fferreira</dc:creator>
  <cp:lastModifiedBy>Vasquez, Hugo Adrian</cp:lastModifiedBy>
  <cp:lastPrinted>2013-05-16T22:55:50Z</cp:lastPrinted>
  <dcterms:created xsi:type="dcterms:W3CDTF">2009-01-23T00:34:23Z</dcterms:created>
  <dcterms:modified xsi:type="dcterms:W3CDTF">2025-09-10T23:37:06Z</dcterms:modified>
</cp:coreProperties>
</file>