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spinoza\Desktop\EXCEL\"/>
    </mc:Choice>
  </mc:AlternateContent>
  <bookViews>
    <workbookView xWindow="-120" yWindow="-120" windowWidth="29040" windowHeight="15720" tabRatio="599"/>
  </bookViews>
  <sheets>
    <sheet name="Simulador" sheetId="1" r:id="rId1"/>
    <sheet name="Formulas" sheetId="3" state="hidden" r:id="rId2"/>
  </sheets>
  <definedNames>
    <definedName name="_xlnm.Print_Area" localSheetId="1">Formulas!$B$1:$J$56</definedName>
    <definedName name="_xlnm.Print_Area" localSheetId="0">Simulador!$B$5:$O$105</definedName>
    <definedName name="EnvioFisico">Simulador!$R$29:$R$30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E24" i="1"/>
  <c r="E21" i="1"/>
  <c r="E25" i="1" l="1"/>
  <c r="E17" i="1" s="1"/>
  <c r="G10" i="1" l="1"/>
  <c r="G17" i="1"/>
  <c r="G16" i="1"/>
  <c r="G18" i="1" l="1"/>
  <c r="O19" i="1"/>
  <c r="O20" i="1" s="1"/>
  <c r="O8" i="1" l="1"/>
  <c r="E15" i="1" l="1"/>
  <c r="I106" i="1"/>
  <c r="C34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R105" i="1" l="1"/>
  <c r="R104" i="1"/>
  <c r="R103" i="1"/>
  <c r="R102" i="1"/>
  <c r="R101" i="1"/>
  <c r="R100" i="1"/>
  <c r="R99" i="1"/>
  <c r="R98" i="1"/>
  <c r="R97" i="1"/>
  <c r="R96" i="1"/>
  <c r="R95" i="1"/>
  <c r="R94" i="1"/>
  <c r="AD107" i="1" l="1"/>
  <c r="AE106" i="1"/>
  <c r="AE107" i="1" s="1"/>
  <c r="K35" i="1"/>
  <c r="N82" i="1" l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Y33" i="1" l="1"/>
  <c r="Z33" i="1" s="1"/>
  <c r="AA33" i="1" s="1"/>
  <c r="Y34" i="1" l="1"/>
  <c r="Z34" i="1" s="1"/>
  <c r="AA34" i="1" l="1"/>
  <c r="AA35" i="1" l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K34" i="1"/>
  <c r="K36" i="1"/>
  <c r="K37" i="1"/>
  <c r="K38" i="1"/>
  <c r="K39" i="1"/>
  <c r="K40" i="1"/>
  <c r="K41" i="1"/>
  <c r="K42" i="1"/>
  <c r="K43" i="1"/>
  <c r="K44" i="1"/>
  <c r="K45" i="1"/>
  <c r="AA71" i="1" l="1"/>
  <c r="N9" i="1"/>
  <c r="R12" i="1"/>
  <c r="R13" i="1" s="1"/>
  <c r="R14" i="1" s="1"/>
  <c r="R15" i="1" s="1"/>
  <c r="R16" i="1" s="1"/>
  <c r="R17" i="1" s="1"/>
  <c r="R18" i="1" s="1"/>
  <c r="R19" i="1" s="1"/>
  <c r="R21" i="1" s="1"/>
  <c r="R22" i="1" s="1"/>
  <c r="R25" i="1" s="1"/>
  <c r="S17" i="1"/>
  <c r="S25" i="1"/>
  <c r="C33" i="1"/>
  <c r="D33" i="1"/>
  <c r="L33" i="1" s="1"/>
  <c r="K47" i="1"/>
  <c r="K49" i="1"/>
  <c r="K51" i="1"/>
  <c r="K53" i="1"/>
  <c r="K55" i="1"/>
  <c r="K57" i="1"/>
  <c r="K59" i="1"/>
  <c r="K61" i="1"/>
  <c r="K63" i="1"/>
  <c r="K65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68" i="1"/>
  <c r="K64" i="1"/>
  <c r="K60" i="1"/>
  <c r="K56" i="1"/>
  <c r="K52" i="1"/>
  <c r="K48" i="1"/>
  <c r="K66" i="1"/>
  <c r="K62" i="1"/>
  <c r="K58" i="1"/>
  <c r="K54" i="1"/>
  <c r="K50" i="1"/>
  <c r="K46" i="1"/>
  <c r="K106" i="1" l="1"/>
  <c r="AE33" i="1"/>
  <c r="AD33" i="1"/>
  <c r="AD34" i="1"/>
  <c r="AE34" i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D35" i="1"/>
  <c r="Y35" i="1"/>
  <c r="Z35" i="1" s="1"/>
  <c r="AA72" i="1"/>
  <c r="P33" i="1"/>
  <c r="O34" i="1"/>
  <c r="E33" i="1"/>
  <c r="D34" i="1" s="1"/>
  <c r="K32" i="1"/>
  <c r="P34" i="1"/>
  <c r="V34" i="1" l="1"/>
  <c r="H34" i="1" s="1"/>
  <c r="C35" i="1"/>
  <c r="Y36" i="1" s="1"/>
  <c r="Z36" i="1" s="1"/>
  <c r="N34" i="1"/>
  <c r="AA73" i="1"/>
  <c r="N33" i="1"/>
  <c r="R34" i="1"/>
  <c r="AD36" i="1" l="1"/>
  <c r="C36" i="1" s="1"/>
  <c r="Y37" i="1" s="1"/>
  <c r="Z37" i="1" s="1"/>
  <c r="P35" i="1"/>
  <c r="N35" i="1" s="1"/>
  <c r="O35" i="1"/>
  <c r="AA74" i="1"/>
  <c r="AD37" i="1" l="1"/>
  <c r="P36" i="1"/>
  <c r="N36" i="1" s="1"/>
  <c r="O36" i="1"/>
  <c r="AA75" i="1"/>
  <c r="C37" i="1" l="1"/>
  <c r="AA76" i="1"/>
  <c r="O37" i="1" l="1"/>
  <c r="P37" i="1"/>
  <c r="N37" i="1" s="1"/>
  <c r="Y38" i="1"/>
  <c r="Z38" i="1" s="1"/>
  <c r="AD38" i="1"/>
  <c r="AA77" i="1"/>
  <c r="C38" i="1" l="1"/>
  <c r="AD39" i="1" s="1"/>
  <c r="AA78" i="1"/>
  <c r="C39" i="1" l="1"/>
  <c r="Y39" i="1"/>
  <c r="Z39" i="1" s="1"/>
  <c r="P38" i="1"/>
  <c r="N38" i="1" s="1"/>
  <c r="O38" i="1"/>
  <c r="AA79" i="1"/>
  <c r="P39" i="1" l="1"/>
  <c r="N39" i="1" s="1"/>
  <c r="Y40" i="1"/>
  <c r="Z40" i="1" s="1"/>
  <c r="O39" i="1"/>
  <c r="AD40" i="1"/>
  <c r="AA80" i="1"/>
  <c r="C40" i="1" l="1"/>
  <c r="AA81" i="1"/>
  <c r="P40" i="1" l="1"/>
  <c r="N40" i="1" s="1"/>
  <c r="Y41" i="1"/>
  <c r="Z41" i="1" s="1"/>
  <c r="O40" i="1"/>
  <c r="AD41" i="1"/>
  <c r="C41" i="1" l="1"/>
  <c r="P41" i="1" l="1"/>
  <c r="N41" i="1" s="1"/>
  <c r="Y42" i="1"/>
  <c r="Z42" i="1" s="1"/>
  <c r="O41" i="1"/>
  <c r="AD42" i="1"/>
  <c r="C42" i="1" l="1"/>
  <c r="P82" i="1"/>
  <c r="O82" i="1"/>
  <c r="Y43" i="1" l="1"/>
  <c r="Z43" i="1" s="1"/>
  <c r="P42" i="1"/>
  <c r="N42" i="1" s="1"/>
  <c r="O42" i="1"/>
  <c r="AD43" i="1"/>
  <c r="O83" i="1"/>
  <c r="P83" i="1"/>
  <c r="C43" i="1" l="1"/>
  <c r="P84" i="1"/>
  <c r="O84" i="1"/>
  <c r="P43" i="1" l="1"/>
  <c r="N43" i="1" s="1"/>
  <c r="O43" i="1"/>
  <c r="Y44" i="1"/>
  <c r="Z44" i="1" s="1"/>
  <c r="AD44" i="1"/>
  <c r="O85" i="1"/>
  <c r="P85" i="1"/>
  <c r="C44" i="1" l="1"/>
  <c r="O86" i="1"/>
  <c r="P86" i="1"/>
  <c r="O44" i="1" l="1"/>
  <c r="P44" i="1"/>
  <c r="N44" i="1" s="1"/>
  <c r="Y45" i="1"/>
  <c r="Z45" i="1" s="1"/>
  <c r="AD45" i="1"/>
  <c r="P87" i="1"/>
  <c r="O87" i="1"/>
  <c r="C45" i="1" l="1"/>
  <c r="AD46" i="1" s="1"/>
  <c r="P88" i="1"/>
  <c r="O88" i="1"/>
  <c r="C46" i="1" l="1"/>
  <c r="P45" i="1"/>
  <c r="N45" i="1" s="1"/>
  <c r="Y46" i="1"/>
  <c r="Z46" i="1" s="1"/>
  <c r="O45" i="1"/>
  <c r="P89" i="1"/>
  <c r="O89" i="1"/>
  <c r="O46" i="1" l="1"/>
  <c r="Y47" i="1"/>
  <c r="Z47" i="1" s="1"/>
  <c r="P46" i="1"/>
  <c r="N46" i="1" s="1"/>
  <c r="AD47" i="1"/>
  <c r="O90" i="1"/>
  <c r="P90" i="1"/>
  <c r="C47" i="1" l="1"/>
  <c r="O91" i="1"/>
  <c r="P91" i="1"/>
  <c r="P47" i="1" l="1"/>
  <c r="N47" i="1" s="1"/>
  <c r="O47" i="1"/>
  <c r="Y48" i="1"/>
  <c r="Z48" i="1" s="1"/>
  <c r="AD48" i="1"/>
  <c r="P92" i="1"/>
  <c r="O92" i="1"/>
  <c r="C48" i="1" l="1"/>
  <c r="AD49" i="1" s="1"/>
  <c r="O93" i="1"/>
  <c r="P93" i="1"/>
  <c r="C49" i="1" l="1"/>
  <c r="P48" i="1"/>
  <c r="N48" i="1" s="1"/>
  <c r="Y49" i="1"/>
  <c r="Z49" i="1" s="1"/>
  <c r="O48" i="1"/>
  <c r="P94" i="1"/>
  <c r="O94" i="1"/>
  <c r="Y50" i="1" l="1"/>
  <c r="Z50" i="1" s="1"/>
  <c r="P49" i="1"/>
  <c r="N49" i="1" s="1"/>
  <c r="O49" i="1"/>
  <c r="AD50" i="1"/>
  <c r="O95" i="1"/>
  <c r="P95" i="1"/>
  <c r="C50" i="1" l="1"/>
  <c r="AD51" i="1" s="1"/>
  <c r="P96" i="1"/>
  <c r="O96" i="1"/>
  <c r="C51" i="1" l="1"/>
  <c r="P50" i="1"/>
  <c r="N50" i="1" s="1"/>
  <c r="O50" i="1"/>
  <c r="Y51" i="1"/>
  <c r="Z51" i="1" s="1"/>
  <c r="P97" i="1"/>
  <c r="O97" i="1"/>
  <c r="P51" i="1" l="1"/>
  <c r="N51" i="1" s="1"/>
  <c r="Y52" i="1"/>
  <c r="Z52" i="1" s="1"/>
  <c r="O51" i="1"/>
  <c r="AD52" i="1"/>
  <c r="O98" i="1"/>
  <c r="P98" i="1"/>
  <c r="C52" i="1" l="1"/>
  <c r="O99" i="1"/>
  <c r="P99" i="1"/>
  <c r="O52" i="1" l="1"/>
  <c r="P52" i="1"/>
  <c r="N52" i="1" s="1"/>
  <c r="Y53" i="1"/>
  <c r="Z53" i="1" s="1"/>
  <c r="AD53" i="1"/>
  <c r="P100" i="1"/>
  <c r="O100" i="1"/>
  <c r="C53" i="1" l="1"/>
  <c r="P101" i="1"/>
  <c r="O101" i="1"/>
  <c r="Y54" i="1" l="1"/>
  <c r="Z54" i="1" s="1"/>
  <c r="P53" i="1"/>
  <c r="N53" i="1" s="1"/>
  <c r="O53" i="1"/>
  <c r="AD54" i="1"/>
  <c r="P102" i="1"/>
  <c r="O102" i="1"/>
  <c r="C54" i="1" l="1"/>
  <c r="O103" i="1"/>
  <c r="P103" i="1"/>
  <c r="P54" i="1" l="1"/>
  <c r="N54" i="1" s="1"/>
  <c r="O54" i="1"/>
  <c r="Y55" i="1"/>
  <c r="Z55" i="1" s="1"/>
  <c r="AD55" i="1"/>
  <c r="AD106" i="1"/>
  <c r="O104" i="1"/>
  <c r="P104" i="1"/>
  <c r="C55" i="1" l="1"/>
  <c r="O105" i="1"/>
  <c r="P105" i="1"/>
  <c r="P55" i="1" l="1"/>
  <c r="N55" i="1" s="1"/>
  <c r="O55" i="1"/>
  <c r="Y56" i="1"/>
  <c r="Z56" i="1" s="1"/>
  <c r="AD56" i="1"/>
  <c r="C56" i="1" l="1"/>
  <c r="O56" i="1" l="1"/>
  <c r="Y57" i="1"/>
  <c r="Z57" i="1" s="1"/>
  <c r="P56" i="1"/>
  <c r="N56" i="1" s="1"/>
  <c r="AD57" i="1"/>
  <c r="C57" i="1" l="1"/>
  <c r="O57" i="1" l="1"/>
  <c r="Y58" i="1"/>
  <c r="Z58" i="1" s="1"/>
  <c r="P57" i="1"/>
  <c r="N57" i="1" s="1"/>
  <c r="AD58" i="1"/>
  <c r="C58" i="1" l="1"/>
  <c r="Y59" i="1" l="1"/>
  <c r="Z59" i="1" s="1"/>
  <c r="P58" i="1"/>
  <c r="N58" i="1" s="1"/>
  <c r="O58" i="1"/>
  <c r="AD59" i="1"/>
  <c r="C59" i="1" l="1"/>
  <c r="P59" i="1" l="1"/>
  <c r="N59" i="1" s="1"/>
  <c r="Y60" i="1"/>
  <c r="Z60" i="1" s="1"/>
  <c r="O59" i="1"/>
  <c r="AD60" i="1"/>
  <c r="C60" i="1" l="1"/>
  <c r="O60" i="1" l="1"/>
  <c r="Y61" i="1"/>
  <c r="Z61" i="1" s="1"/>
  <c r="P60" i="1"/>
  <c r="N60" i="1" s="1"/>
  <c r="AD61" i="1"/>
  <c r="C61" i="1" l="1"/>
  <c r="O61" i="1" l="1"/>
  <c r="P61" i="1"/>
  <c r="N61" i="1" s="1"/>
  <c r="Y62" i="1"/>
  <c r="Z62" i="1" s="1"/>
  <c r="AD62" i="1"/>
  <c r="C62" i="1" l="1"/>
  <c r="O62" i="1" l="1"/>
  <c r="Y63" i="1"/>
  <c r="Z63" i="1" s="1"/>
  <c r="P62" i="1"/>
  <c r="N62" i="1" s="1"/>
  <c r="AD63" i="1"/>
  <c r="C63" i="1" l="1"/>
  <c r="Y64" i="1" l="1"/>
  <c r="Z64" i="1" s="1"/>
  <c r="O63" i="1"/>
  <c r="P63" i="1"/>
  <c r="N63" i="1" s="1"/>
  <c r="AD64" i="1"/>
  <c r="C64" i="1" l="1"/>
  <c r="Y65" i="1" l="1"/>
  <c r="Z65" i="1" s="1"/>
  <c r="P64" i="1"/>
  <c r="N64" i="1" s="1"/>
  <c r="O64" i="1"/>
  <c r="AD65" i="1"/>
  <c r="C65" i="1" l="1"/>
  <c r="Y66" i="1" l="1"/>
  <c r="Z66" i="1" s="1"/>
  <c r="P65" i="1"/>
  <c r="N65" i="1" s="1"/>
  <c r="O65" i="1"/>
  <c r="AD66" i="1"/>
  <c r="C66" i="1" l="1"/>
  <c r="Y67" i="1" l="1"/>
  <c r="Z67" i="1" s="1"/>
  <c r="P66" i="1"/>
  <c r="N66" i="1" s="1"/>
  <c r="O66" i="1"/>
  <c r="AD67" i="1"/>
  <c r="C67" i="1" l="1"/>
  <c r="O67" i="1" l="1"/>
  <c r="Y68" i="1"/>
  <c r="Z68" i="1" s="1"/>
  <c r="P67" i="1"/>
  <c r="N67" i="1" s="1"/>
  <c r="AD68" i="1"/>
  <c r="C68" i="1" l="1"/>
  <c r="Y69" i="1" l="1"/>
  <c r="Z69" i="1" s="1"/>
  <c r="O68" i="1"/>
  <c r="P68" i="1"/>
  <c r="N68" i="1" s="1"/>
  <c r="AD69" i="1"/>
  <c r="C69" i="1" l="1"/>
  <c r="Y70" i="1" l="1"/>
  <c r="Z70" i="1" s="1"/>
  <c r="P69" i="1"/>
  <c r="N69" i="1" s="1"/>
  <c r="O69" i="1"/>
  <c r="AD70" i="1"/>
  <c r="C70" i="1" l="1"/>
  <c r="Y71" i="1" l="1"/>
  <c r="Z71" i="1" s="1"/>
  <c r="O70" i="1"/>
  <c r="P70" i="1"/>
  <c r="N70" i="1" s="1"/>
  <c r="AD71" i="1"/>
  <c r="C71" i="1" l="1"/>
  <c r="Y72" i="1" l="1"/>
  <c r="Z72" i="1" s="1"/>
  <c r="P71" i="1"/>
  <c r="N71" i="1" s="1"/>
  <c r="O71" i="1"/>
  <c r="AD72" i="1"/>
  <c r="C72" i="1" l="1"/>
  <c r="P72" i="1" l="1"/>
  <c r="N72" i="1" s="1"/>
  <c r="O72" i="1"/>
  <c r="Y73" i="1"/>
  <c r="Z73" i="1" s="1"/>
  <c r="AD73" i="1"/>
  <c r="C73" i="1" l="1"/>
  <c r="P73" i="1" l="1"/>
  <c r="N73" i="1" s="1"/>
  <c r="O73" i="1"/>
  <c r="Y74" i="1"/>
  <c r="Z74" i="1" s="1"/>
  <c r="AD74" i="1"/>
  <c r="C74" i="1" l="1"/>
  <c r="O74" i="1" l="1"/>
  <c r="Y75" i="1"/>
  <c r="Z75" i="1" s="1"/>
  <c r="P74" i="1"/>
  <c r="N74" i="1" s="1"/>
  <c r="AD75" i="1"/>
  <c r="C75" i="1" l="1"/>
  <c r="P75" i="1" l="1"/>
  <c r="N75" i="1" s="1"/>
  <c r="Y76" i="1"/>
  <c r="Z76" i="1" s="1"/>
  <c r="O75" i="1"/>
  <c r="AD76" i="1"/>
  <c r="C76" i="1" l="1"/>
  <c r="Y77" i="1" l="1"/>
  <c r="Z77" i="1" s="1"/>
  <c r="O76" i="1"/>
  <c r="P76" i="1"/>
  <c r="N76" i="1" s="1"/>
  <c r="AD77" i="1"/>
  <c r="C77" i="1" l="1"/>
  <c r="Y78" i="1" l="1"/>
  <c r="Z78" i="1" s="1"/>
  <c r="P77" i="1"/>
  <c r="N77" i="1" s="1"/>
  <c r="O77" i="1"/>
  <c r="AD78" i="1"/>
  <c r="C78" i="1" l="1"/>
  <c r="Y79" i="1" l="1"/>
  <c r="Z79" i="1" s="1"/>
  <c r="O78" i="1"/>
  <c r="P78" i="1"/>
  <c r="N78" i="1" s="1"/>
  <c r="AD79" i="1"/>
  <c r="C79" i="1" l="1"/>
  <c r="O79" i="1" l="1"/>
  <c r="P79" i="1"/>
  <c r="N79" i="1" s="1"/>
  <c r="Y80" i="1"/>
  <c r="Z80" i="1" s="1"/>
  <c r="AD80" i="1"/>
  <c r="C80" i="1" l="1"/>
  <c r="O80" i="1" l="1"/>
  <c r="Y81" i="1"/>
  <c r="Z81" i="1" s="1"/>
  <c r="P80" i="1"/>
  <c r="N80" i="1" s="1"/>
  <c r="AD81" i="1"/>
  <c r="C81" i="1" s="1"/>
  <c r="O81" i="1" l="1"/>
  <c r="P81" i="1"/>
  <c r="N81" i="1" s="1"/>
  <c r="E19" i="1" s="1"/>
  <c r="G34" i="1" l="1"/>
  <c r="G98" i="1"/>
  <c r="G96" i="1"/>
  <c r="G97" i="1"/>
  <c r="G105" i="1"/>
  <c r="G95" i="1"/>
  <c r="G99" i="1"/>
  <c r="G104" i="1"/>
  <c r="G100" i="1"/>
  <c r="G101" i="1"/>
  <c r="G94" i="1"/>
  <c r="G102" i="1"/>
  <c r="G103" i="1"/>
  <c r="E22" i="1"/>
  <c r="F34" i="1" l="1"/>
  <c r="J34" i="1" s="1"/>
  <c r="L34" i="1" s="1"/>
  <c r="S34" i="1"/>
  <c r="E34" i="1" l="1"/>
  <c r="D35" i="1" l="1"/>
  <c r="R35" i="1" l="1"/>
  <c r="V35" i="1"/>
  <c r="H35" i="1" s="1"/>
  <c r="G35" i="1" l="1"/>
  <c r="S35" i="1" l="1"/>
  <c r="F35" i="1"/>
  <c r="E35" i="1" s="1"/>
  <c r="J35" i="1" l="1"/>
  <c r="L35" i="1" s="1"/>
  <c r="D36" i="1"/>
  <c r="V36" i="1" l="1"/>
  <c r="H36" i="1" s="1"/>
  <c r="R36" i="1"/>
  <c r="G36" i="1" l="1"/>
  <c r="F36" i="1" s="1"/>
  <c r="S36" i="1" l="1"/>
  <c r="J36" i="1"/>
  <c r="L36" i="1" s="1"/>
  <c r="E36" i="1" l="1"/>
  <c r="D37" i="1" l="1"/>
  <c r="V37" i="1" l="1"/>
  <c r="H37" i="1" s="1"/>
  <c r="R37" i="1"/>
  <c r="G37" i="1" l="1"/>
  <c r="S37" i="1" l="1"/>
  <c r="F37" i="1"/>
  <c r="J37" i="1" s="1"/>
  <c r="L37" i="1" s="1"/>
  <c r="E37" i="1" l="1"/>
  <c r="D38" i="1" s="1"/>
  <c r="V38" i="1" l="1"/>
  <c r="H38" i="1" s="1"/>
  <c r="R38" i="1"/>
  <c r="G38" i="1" l="1"/>
  <c r="S38" i="1" l="1"/>
  <c r="F38" i="1"/>
  <c r="J38" i="1" s="1"/>
  <c r="L38" i="1" s="1"/>
  <c r="E38" i="1" l="1"/>
  <c r="D39" i="1" l="1"/>
  <c r="R39" i="1" l="1"/>
  <c r="V39" i="1"/>
  <c r="H39" i="1" s="1"/>
  <c r="G39" i="1" l="1"/>
  <c r="S39" i="1" l="1"/>
  <c r="F39" i="1"/>
  <c r="E39" i="1" s="1"/>
  <c r="D40" i="1" s="1"/>
  <c r="V40" i="1" s="1"/>
  <c r="H40" i="1" s="1"/>
  <c r="J39" i="1" l="1"/>
  <c r="L39" i="1" s="1"/>
  <c r="R40" i="1"/>
  <c r="G40" i="1" s="1"/>
  <c r="F40" i="1" l="1"/>
  <c r="J40" i="1" s="1"/>
  <c r="L40" i="1" s="1"/>
  <c r="S40" i="1"/>
  <c r="E40" i="1" l="1"/>
  <c r="D41" i="1" s="1"/>
  <c r="V41" i="1" s="1"/>
  <c r="H41" i="1" s="1"/>
  <c r="R41" i="1" l="1"/>
  <c r="G41" i="1" s="1"/>
  <c r="S41" i="1" l="1"/>
  <c r="F41" i="1"/>
  <c r="J41" i="1" s="1"/>
  <c r="L41" i="1" s="1"/>
  <c r="E41" i="1" l="1"/>
  <c r="D42" i="1" s="1"/>
  <c r="V42" i="1" s="1"/>
  <c r="H42" i="1" s="1"/>
  <c r="R42" i="1" l="1"/>
  <c r="G42" i="1" s="1"/>
  <c r="F42" i="1" s="1"/>
  <c r="E42" i="1" s="1"/>
  <c r="D43" i="1" s="1"/>
  <c r="S42" i="1" l="1"/>
  <c r="R43" i="1" s="1"/>
  <c r="J42" i="1"/>
  <c r="L42" i="1" s="1"/>
  <c r="V43" i="1"/>
  <c r="H43" i="1" s="1"/>
  <c r="G43" i="1" l="1"/>
  <c r="S43" i="1" l="1"/>
  <c r="F43" i="1"/>
  <c r="J43" i="1" s="1"/>
  <c r="L43" i="1" s="1"/>
  <c r="E43" i="1" l="1"/>
  <c r="D44" i="1" s="1"/>
  <c r="V44" i="1" s="1"/>
  <c r="H44" i="1" s="1"/>
  <c r="R44" i="1" l="1"/>
  <c r="G44" i="1" s="1"/>
  <c r="F44" i="1" s="1"/>
  <c r="E44" i="1" s="1"/>
  <c r="D45" i="1" s="1"/>
  <c r="V45" i="1" s="1"/>
  <c r="H45" i="1" s="1"/>
  <c r="S44" i="1" l="1"/>
  <c r="R45" i="1" s="1"/>
  <c r="G45" i="1" s="1"/>
  <c r="J44" i="1"/>
  <c r="L44" i="1" s="1"/>
  <c r="S45" i="1" l="1"/>
  <c r="F45" i="1"/>
  <c r="J45" i="1" s="1"/>
  <c r="L45" i="1" s="1"/>
  <c r="E45" i="1" l="1"/>
  <c r="D46" i="1" s="1"/>
  <c r="V46" i="1" s="1"/>
  <c r="H46" i="1" s="1"/>
  <c r="R46" i="1" l="1"/>
  <c r="G46" i="1" s="1"/>
  <c r="F46" i="1" s="1"/>
  <c r="E46" i="1" s="1"/>
  <c r="D47" i="1" s="1"/>
  <c r="S46" i="1" l="1"/>
  <c r="R47" i="1" s="1"/>
  <c r="J46" i="1"/>
  <c r="L46" i="1" s="1"/>
  <c r="V47" i="1"/>
  <c r="H47" i="1" s="1"/>
  <c r="G47" i="1" l="1"/>
  <c r="F47" i="1" l="1"/>
  <c r="E47" i="1" s="1"/>
  <c r="D48" i="1" s="1"/>
  <c r="V48" i="1" s="1"/>
  <c r="H48" i="1" s="1"/>
  <c r="S47" i="1"/>
  <c r="J47" i="1" l="1"/>
  <c r="L47" i="1" s="1"/>
  <c r="R48" i="1"/>
  <c r="G48" i="1" s="1"/>
  <c r="S48" i="1" l="1"/>
  <c r="F48" i="1"/>
  <c r="E48" i="1" s="1"/>
  <c r="D49" i="1" s="1"/>
  <c r="V49" i="1" s="1"/>
  <c r="H49" i="1" s="1"/>
  <c r="J48" i="1" l="1"/>
  <c r="L48" i="1" s="1"/>
  <c r="R49" i="1"/>
  <c r="G49" i="1" s="1"/>
  <c r="S49" i="1" l="1"/>
  <c r="F49" i="1"/>
  <c r="J49" i="1" s="1"/>
  <c r="L49" i="1" s="1"/>
  <c r="E49" i="1" l="1"/>
  <c r="D50" i="1" s="1"/>
  <c r="V50" i="1" l="1"/>
  <c r="H50" i="1" s="1"/>
  <c r="R50" i="1"/>
  <c r="G50" i="1" l="1"/>
  <c r="S50" i="1" l="1"/>
  <c r="F50" i="1"/>
  <c r="E50" i="1" s="1"/>
  <c r="D51" i="1" s="1"/>
  <c r="J50" i="1" l="1"/>
  <c r="L50" i="1" s="1"/>
  <c r="R51" i="1"/>
  <c r="V51" i="1"/>
  <c r="H51" i="1" l="1"/>
  <c r="G51" i="1" s="1"/>
  <c r="S51" i="1" l="1"/>
  <c r="F51" i="1"/>
  <c r="E51" i="1" s="1"/>
  <c r="D52" i="1" s="1"/>
  <c r="V52" i="1" s="1"/>
  <c r="H52" i="1" s="1"/>
  <c r="R52" i="1" l="1"/>
  <c r="G52" i="1" s="1"/>
  <c r="J51" i="1"/>
  <c r="L51" i="1" s="1"/>
  <c r="S52" i="1" l="1"/>
  <c r="F52" i="1"/>
  <c r="E52" i="1" s="1"/>
  <c r="D53" i="1" s="1"/>
  <c r="J52" i="1" l="1"/>
  <c r="L52" i="1" s="1"/>
  <c r="V53" i="1"/>
  <c r="H53" i="1" s="1"/>
  <c r="R53" i="1"/>
  <c r="G53" i="1" l="1"/>
  <c r="S53" i="1" l="1"/>
  <c r="F53" i="1"/>
  <c r="E53" i="1" s="1"/>
  <c r="D54" i="1" s="1"/>
  <c r="R54" i="1" l="1"/>
  <c r="J53" i="1"/>
  <c r="L53" i="1" s="1"/>
  <c r="V54" i="1"/>
  <c r="H54" i="1" l="1"/>
  <c r="G54" i="1" s="1"/>
  <c r="S54" i="1" l="1"/>
  <c r="F54" i="1"/>
  <c r="E54" i="1" s="1"/>
  <c r="D55" i="1" s="1"/>
  <c r="V55" i="1" s="1"/>
  <c r="H55" i="1" s="1"/>
  <c r="R55" i="1" l="1"/>
  <c r="G55" i="1" s="1"/>
  <c r="J54" i="1"/>
  <c r="L54" i="1" s="1"/>
  <c r="S55" i="1" l="1"/>
  <c r="F55" i="1"/>
  <c r="E55" i="1" s="1"/>
  <c r="D56" i="1" s="1"/>
  <c r="J55" i="1" l="1"/>
  <c r="L55" i="1" s="1"/>
  <c r="V56" i="1"/>
  <c r="H56" i="1" s="1"/>
  <c r="R56" i="1"/>
  <c r="G56" i="1" l="1"/>
  <c r="S56" i="1" l="1"/>
  <c r="F56" i="1"/>
  <c r="E56" i="1" s="1"/>
  <c r="D57" i="1" s="1"/>
  <c r="J56" i="1" l="1"/>
  <c r="L56" i="1" s="1"/>
  <c r="R57" i="1"/>
  <c r="V57" i="1"/>
  <c r="H57" i="1" l="1"/>
  <c r="G57" i="1" s="1"/>
  <c r="F57" i="1" l="1"/>
  <c r="E57" i="1" s="1"/>
  <c r="D58" i="1" s="1"/>
  <c r="S57" i="1"/>
  <c r="R58" i="1" l="1"/>
  <c r="V58" i="1"/>
  <c r="J57" i="1"/>
  <c r="L57" i="1" s="1"/>
  <c r="H58" i="1" l="1"/>
  <c r="G58" i="1" s="1"/>
  <c r="S58" i="1" l="1"/>
  <c r="F58" i="1"/>
  <c r="E58" i="1" s="1"/>
  <c r="D59" i="1" s="1"/>
  <c r="J58" i="1" l="1"/>
  <c r="L58" i="1" s="1"/>
  <c r="R59" i="1"/>
  <c r="V59" i="1"/>
  <c r="H59" i="1" l="1"/>
  <c r="G59" i="1" s="1"/>
  <c r="F59" i="1" l="1"/>
  <c r="E59" i="1" s="1"/>
  <c r="D60" i="1" s="1"/>
  <c r="S59" i="1"/>
  <c r="J59" i="1" l="1"/>
  <c r="L59" i="1" s="1"/>
  <c r="V60" i="1"/>
  <c r="R60" i="1"/>
  <c r="H60" i="1" l="1"/>
  <c r="G60" i="1" s="1"/>
  <c r="F60" i="1" l="1"/>
  <c r="E60" i="1" s="1"/>
  <c r="D61" i="1" s="1"/>
  <c r="S60" i="1"/>
  <c r="J60" i="1" l="1"/>
  <c r="L60" i="1" s="1"/>
  <c r="R61" i="1"/>
  <c r="V61" i="1"/>
  <c r="S94" i="1"/>
  <c r="H61" i="1" l="1"/>
  <c r="G61" i="1" s="1"/>
  <c r="F61" i="1" l="1"/>
  <c r="E61" i="1" s="1"/>
  <c r="D62" i="1" s="1"/>
  <c r="S61" i="1"/>
  <c r="S95" i="1"/>
  <c r="J61" i="1" l="1"/>
  <c r="L61" i="1" s="1"/>
  <c r="V62" i="1"/>
  <c r="R62" i="1"/>
  <c r="S96" i="1"/>
  <c r="H62" i="1" l="1"/>
  <c r="G62" i="1" s="1"/>
  <c r="F62" i="1" l="1"/>
  <c r="E62" i="1" s="1"/>
  <c r="D63" i="1" s="1"/>
  <c r="S62" i="1"/>
  <c r="S97" i="1"/>
  <c r="J62" i="1" l="1"/>
  <c r="L62" i="1" s="1"/>
  <c r="R63" i="1"/>
  <c r="V63" i="1"/>
  <c r="H63" i="1" s="1"/>
  <c r="S98" i="1"/>
  <c r="G63" i="1" l="1"/>
  <c r="F63" i="1" s="1"/>
  <c r="E63" i="1" s="1"/>
  <c r="D64" i="1" s="1"/>
  <c r="S63" i="1" l="1"/>
  <c r="R64" i="1" s="1"/>
  <c r="J63" i="1"/>
  <c r="L63" i="1" s="1"/>
  <c r="V64" i="1"/>
  <c r="H64" i="1" s="1"/>
  <c r="S99" i="1"/>
  <c r="G64" i="1" l="1"/>
  <c r="S64" i="1" s="1"/>
  <c r="F64" i="1" l="1"/>
  <c r="E64" i="1" s="1"/>
  <c r="D65" i="1" s="1"/>
  <c r="S100" i="1"/>
  <c r="J64" i="1" l="1"/>
  <c r="L64" i="1" s="1"/>
  <c r="V65" i="1"/>
  <c r="H65" i="1" s="1"/>
  <c r="R65" i="1"/>
  <c r="G65" i="1" l="1"/>
  <c r="F65" i="1" s="1"/>
  <c r="S101" i="1"/>
  <c r="S65" i="1" l="1"/>
  <c r="J65" i="1"/>
  <c r="L65" i="1" s="1"/>
  <c r="E65" i="1"/>
  <c r="D66" i="1" s="1"/>
  <c r="R66" i="1" l="1"/>
  <c r="V66" i="1"/>
  <c r="H66" i="1" s="1"/>
  <c r="S102" i="1"/>
  <c r="G66" i="1" l="1"/>
  <c r="S66" i="1" s="1"/>
  <c r="S103" i="1"/>
  <c r="F66" i="1" l="1"/>
  <c r="E66" i="1" s="1"/>
  <c r="D67" i="1" s="1"/>
  <c r="V67" i="1" s="1"/>
  <c r="H67" i="1" s="1"/>
  <c r="J66" i="1" l="1"/>
  <c r="L66" i="1" s="1"/>
  <c r="R67" i="1"/>
  <c r="G67" i="1" s="1"/>
  <c r="F67" i="1" s="1"/>
  <c r="S104" i="1"/>
  <c r="J67" i="1" l="1"/>
  <c r="L67" i="1" s="1"/>
  <c r="E67" i="1"/>
  <c r="D68" i="1" s="1"/>
  <c r="S67" i="1"/>
  <c r="V68" i="1" l="1"/>
  <c r="H68" i="1" s="1"/>
  <c r="R68" i="1"/>
  <c r="S105" i="1"/>
  <c r="G68" i="1" l="1"/>
  <c r="F68" i="1" s="1"/>
  <c r="I32" i="1"/>
  <c r="J68" i="1" l="1"/>
  <c r="L68" i="1" s="1"/>
  <c r="E68" i="1"/>
  <c r="D69" i="1" s="1"/>
  <c r="S68" i="1"/>
  <c r="V69" i="1" l="1"/>
  <c r="H69" i="1" s="1"/>
  <c r="R69" i="1"/>
  <c r="G69" i="1" l="1"/>
  <c r="F69" i="1" s="1"/>
  <c r="J69" i="1" l="1"/>
  <c r="L69" i="1" s="1"/>
  <c r="E69" i="1"/>
  <c r="D70" i="1" s="1"/>
  <c r="V70" i="1" s="1"/>
  <c r="H70" i="1" s="1"/>
  <c r="S69" i="1"/>
  <c r="R70" i="1" s="1"/>
  <c r="G70" i="1" l="1"/>
  <c r="F70" i="1" s="1"/>
  <c r="J70" i="1" l="1"/>
  <c r="L70" i="1" s="1"/>
  <c r="E70" i="1"/>
  <c r="D71" i="1" s="1"/>
  <c r="S70" i="1"/>
  <c r="R71" i="1" l="1"/>
  <c r="V71" i="1"/>
  <c r="H71" i="1" l="1"/>
  <c r="G71" i="1" s="1"/>
  <c r="F71" i="1" l="1"/>
  <c r="S71" i="1"/>
  <c r="J71" i="1" l="1"/>
  <c r="L71" i="1" s="1"/>
  <c r="E71" i="1"/>
  <c r="D72" i="1" s="1"/>
  <c r="R72" i="1" l="1"/>
  <c r="V72" i="1"/>
  <c r="H72" i="1" s="1"/>
  <c r="G72" i="1" l="1"/>
  <c r="F72" i="1" s="1"/>
  <c r="J72" i="1" s="1"/>
  <c r="L72" i="1" s="1"/>
  <c r="E72" i="1" l="1"/>
  <c r="D73" i="1" s="1"/>
  <c r="S72" i="1"/>
  <c r="R73" i="1" l="1"/>
  <c r="V73" i="1"/>
  <c r="H73" i="1" s="1"/>
  <c r="G73" i="1" s="1"/>
  <c r="F73" i="1" l="1"/>
  <c r="S73" i="1"/>
  <c r="J73" i="1" l="1"/>
  <c r="L73" i="1" s="1"/>
  <c r="E73" i="1"/>
  <c r="D74" i="1" s="1"/>
  <c r="R74" i="1" l="1"/>
  <c r="V74" i="1"/>
  <c r="H74" i="1" s="1"/>
  <c r="G74" i="1" l="1"/>
  <c r="F74" i="1" s="1"/>
  <c r="E74" i="1" s="1"/>
  <c r="D75" i="1" s="1"/>
  <c r="S74" i="1" l="1"/>
  <c r="R75" i="1" s="1"/>
  <c r="J74" i="1"/>
  <c r="L74" i="1" s="1"/>
  <c r="V75" i="1"/>
  <c r="H75" i="1" s="1"/>
  <c r="G75" i="1" l="1"/>
  <c r="S75" i="1" s="1"/>
  <c r="F75" i="1" l="1"/>
  <c r="J75" i="1" l="1"/>
  <c r="L75" i="1" s="1"/>
  <c r="E75" i="1"/>
  <c r="D76" i="1" s="1"/>
  <c r="R76" i="1" l="1"/>
  <c r="V76" i="1"/>
  <c r="H76" i="1" s="1"/>
  <c r="G76" i="1" l="1"/>
  <c r="F76" i="1" s="1"/>
  <c r="J76" i="1" s="1"/>
  <c r="L76" i="1" s="1"/>
  <c r="E76" i="1" l="1"/>
  <c r="D77" i="1" s="1"/>
  <c r="S76" i="1"/>
  <c r="R77" i="1" l="1"/>
  <c r="V77" i="1"/>
  <c r="H77" i="1" s="1"/>
  <c r="G77" i="1" s="1"/>
  <c r="S77" i="1" s="1"/>
  <c r="F77" i="1" l="1"/>
  <c r="J77" i="1" s="1"/>
  <c r="L77" i="1" s="1"/>
  <c r="E77" i="1" l="1"/>
  <c r="D78" i="1" s="1"/>
  <c r="R78" i="1" l="1"/>
  <c r="V78" i="1"/>
  <c r="H78" i="1" s="1"/>
  <c r="G78" i="1" l="1"/>
  <c r="F78" i="1" s="1"/>
  <c r="J78" i="1" s="1"/>
  <c r="L78" i="1" s="1"/>
  <c r="E78" i="1" l="1"/>
  <c r="D79" i="1" s="1"/>
  <c r="S78" i="1"/>
  <c r="R79" i="1" l="1"/>
  <c r="V79" i="1"/>
  <c r="H79" i="1" s="1"/>
  <c r="G79" i="1" l="1"/>
  <c r="S79" i="1" l="1"/>
  <c r="F79" i="1"/>
  <c r="E79" i="1" s="1"/>
  <c r="D80" i="1" s="1"/>
  <c r="R80" i="1" l="1"/>
  <c r="V80" i="1"/>
  <c r="H80" i="1" s="1"/>
  <c r="G80" i="1" s="1"/>
  <c r="S80" i="1" s="1"/>
  <c r="J79" i="1"/>
  <c r="L79" i="1" s="1"/>
  <c r="F80" i="1" l="1"/>
  <c r="J80" i="1" s="1"/>
  <c r="L80" i="1" s="1"/>
  <c r="E80" i="1" l="1"/>
  <c r="D81" i="1" s="1"/>
  <c r="F81" i="1" s="1"/>
  <c r="E81" i="1" s="1"/>
  <c r="R81" i="1"/>
  <c r="D106" i="1" l="1"/>
  <c r="V81" i="1"/>
  <c r="H81" i="1" s="1"/>
  <c r="F106" i="1"/>
  <c r="D82" i="1"/>
  <c r="F82" i="1" s="1"/>
  <c r="E106" i="1"/>
  <c r="H32" i="1" l="1"/>
  <c r="H106" i="1"/>
  <c r="G81" i="1"/>
  <c r="E82" i="1"/>
  <c r="D83" i="1" s="1"/>
  <c r="R82" i="1"/>
  <c r="G82" i="1" s="1"/>
  <c r="J82" i="1" s="1"/>
  <c r="L82" i="1" s="1"/>
  <c r="J81" i="1" l="1"/>
  <c r="S81" i="1"/>
  <c r="G106" i="1"/>
  <c r="R83" i="1"/>
  <c r="G83" i="1" s="1"/>
  <c r="F83" i="1"/>
  <c r="E83" i="1" s="1"/>
  <c r="D84" i="1" s="1"/>
  <c r="F84" i="1" s="1"/>
  <c r="L81" i="1" l="1"/>
  <c r="J106" i="1"/>
  <c r="J83" i="1"/>
  <c r="L83" i="1" s="1"/>
  <c r="S83" i="1"/>
  <c r="S82" i="1"/>
  <c r="R84" i="1"/>
  <c r="G84" i="1" s="1"/>
  <c r="J84" i="1" s="1"/>
  <c r="L84" i="1" s="1"/>
  <c r="F28" i="1" l="1"/>
  <c r="E28" i="1" s="1"/>
  <c r="L106" i="1"/>
  <c r="S84" i="1"/>
  <c r="E84" i="1" l="1"/>
  <c r="D85" i="1" s="1"/>
  <c r="F85" i="1" s="1"/>
  <c r="R85" i="1" l="1"/>
  <c r="G85" i="1" s="1"/>
  <c r="J85" i="1" s="1"/>
  <c r="L85" i="1" s="1"/>
  <c r="S85" i="1" l="1"/>
  <c r="E85" i="1"/>
  <c r="D86" i="1" s="1"/>
  <c r="F86" i="1" s="1"/>
  <c r="R86" i="1" l="1"/>
  <c r="G86" i="1" s="1"/>
  <c r="J86" i="1" s="1"/>
  <c r="L86" i="1" s="1"/>
  <c r="S86" i="1" l="1"/>
  <c r="E86" i="1"/>
  <c r="D87" i="1" s="1"/>
  <c r="F87" i="1" s="1"/>
  <c r="R87" i="1" l="1"/>
  <c r="G87" i="1" s="1"/>
  <c r="J87" i="1" s="1"/>
  <c r="L87" i="1" s="1"/>
  <c r="S87" i="1" l="1"/>
  <c r="E87" i="1"/>
  <c r="D88" i="1" s="1"/>
  <c r="R88" i="1" l="1"/>
  <c r="G88" i="1" s="1"/>
  <c r="F88" i="1"/>
  <c r="E88" i="1" s="1"/>
  <c r="D89" i="1" s="1"/>
  <c r="F89" i="1" s="1"/>
  <c r="J88" i="1" l="1"/>
  <c r="L88" i="1" s="1"/>
  <c r="S88" i="1"/>
  <c r="R89" i="1"/>
  <c r="G89" i="1" s="1"/>
  <c r="J89" i="1" s="1"/>
  <c r="L89" i="1" s="1"/>
  <c r="S89" i="1" l="1"/>
  <c r="E89" i="1" l="1"/>
  <c r="D90" i="1" s="1"/>
  <c r="F90" i="1" s="1"/>
  <c r="R90" i="1" l="1"/>
  <c r="G90" i="1" s="1"/>
  <c r="J90" i="1" s="1"/>
  <c r="L90" i="1" s="1"/>
  <c r="S90" i="1" l="1"/>
  <c r="E90" i="1"/>
  <c r="D91" i="1" s="1"/>
  <c r="F91" i="1" s="1"/>
  <c r="R91" i="1" l="1"/>
  <c r="G91" i="1" s="1"/>
  <c r="J91" i="1" s="1"/>
  <c r="L91" i="1" s="1"/>
  <c r="S91" i="1" l="1"/>
  <c r="E91" i="1"/>
  <c r="D92" i="1" s="1"/>
  <c r="F92" i="1" s="1"/>
  <c r="R92" i="1" l="1"/>
  <c r="G92" i="1" s="1"/>
  <c r="J92" i="1" s="1"/>
  <c r="L92" i="1" s="1"/>
  <c r="S92" i="1" l="1"/>
  <c r="E92" i="1"/>
  <c r="D93" i="1" s="1"/>
  <c r="F93" i="1" s="1"/>
  <c r="R93" i="1" l="1"/>
  <c r="G93" i="1" s="1"/>
  <c r="J93" i="1" s="1"/>
  <c r="L93" i="1" s="1"/>
  <c r="E93" i="1"/>
  <c r="D94" i="1" s="1"/>
  <c r="F94" i="1" s="1"/>
  <c r="J94" i="1" s="1"/>
  <c r="L94" i="1" s="1"/>
  <c r="S93" i="1" l="1"/>
  <c r="J28" i="1"/>
  <c r="G32" i="1"/>
  <c r="E94" i="1" l="1"/>
  <c r="D95" i="1" s="1"/>
  <c r="F95" i="1" s="1"/>
  <c r="J95" i="1" s="1"/>
  <c r="L95" i="1" s="1"/>
  <c r="E95" i="1" l="1"/>
  <c r="D96" i="1" s="1"/>
  <c r="F96" i="1" s="1"/>
  <c r="J96" i="1" s="1"/>
  <c r="L96" i="1" s="1"/>
  <c r="E96" i="1" l="1"/>
  <c r="D97" i="1" s="1"/>
  <c r="F97" i="1" l="1"/>
  <c r="J97" i="1" s="1"/>
  <c r="L97" i="1" s="1"/>
  <c r="E97" i="1" l="1"/>
  <c r="D98" i="1" s="1"/>
  <c r="F98" i="1" s="1"/>
  <c r="J98" i="1" s="1"/>
  <c r="L98" i="1" s="1"/>
  <c r="E98" i="1" l="1"/>
  <c r="D99" i="1" s="1"/>
  <c r="F99" i="1" s="1"/>
  <c r="J99" i="1" s="1"/>
  <c r="L99" i="1" s="1"/>
  <c r="E99" i="1" l="1"/>
  <c r="D100" i="1" s="1"/>
  <c r="F100" i="1" s="1"/>
  <c r="E100" i="1" l="1"/>
  <c r="D101" i="1" s="1"/>
  <c r="F101" i="1" s="1"/>
  <c r="J101" i="1" s="1"/>
  <c r="L101" i="1" s="1"/>
  <c r="J100" i="1"/>
  <c r="L100" i="1" s="1"/>
  <c r="E101" i="1" l="1"/>
  <c r="D102" i="1" s="1"/>
  <c r="F102" i="1" s="1"/>
  <c r="J102" i="1" s="1"/>
  <c r="L102" i="1" s="1"/>
  <c r="E102" i="1" l="1"/>
  <c r="D103" i="1" s="1"/>
  <c r="F103" i="1" s="1"/>
  <c r="J103" i="1" s="1"/>
  <c r="L103" i="1" s="1"/>
  <c r="E103" i="1" l="1"/>
  <c r="D104" i="1" s="1"/>
  <c r="F104" i="1" l="1"/>
  <c r="J104" i="1" s="1"/>
  <c r="L104" i="1" s="1"/>
  <c r="E104" i="1" l="1"/>
  <c r="D105" i="1" s="1"/>
  <c r="F105" i="1" s="1"/>
  <c r="J105" i="1" s="1"/>
  <c r="L105" i="1" s="1"/>
  <c r="E105" i="1" l="1"/>
  <c r="F32" i="1"/>
  <c r="L32" i="1"/>
  <c r="J32" i="1"/>
</calcChain>
</file>

<file path=xl/sharedStrings.xml><?xml version="1.0" encoding="utf-8"?>
<sst xmlns="http://schemas.openxmlformats.org/spreadsheetml/2006/main" count="87" uniqueCount="80">
  <si>
    <t>Moneda</t>
  </si>
  <si>
    <t>Fecha</t>
  </si>
  <si>
    <t>Fecha de desembolso</t>
  </si>
  <si>
    <r>
      <t xml:space="preserve">Cuota Mensual (C)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</si>
  <si>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 xml:space="preserve">Interés (I)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</si>
  <si>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>Saldo Inicial (SI) y Saldo Final (SF) del mes</t>
    </r>
    <r>
      <rPr>
        <i/>
        <sz val="10"/>
        <rFont val="Arial"/>
        <family val="2"/>
      </rPr>
      <t xml:space="preserve"> i:</t>
    </r>
  </si>
  <si>
    <r>
      <t xml:space="preserve">Amortización (A) del mes </t>
    </r>
    <r>
      <rPr>
        <i/>
        <sz val="10"/>
        <rFont val="Arial"/>
        <family val="2"/>
      </rPr>
      <t>i:</t>
    </r>
  </si>
  <si>
    <t>A partir del mes 1:</t>
  </si>
  <si>
    <t>dp = Tasa de derecho de emisión de póliza</t>
  </si>
  <si>
    <t>Total a Pagar Mensual (T):</t>
  </si>
  <si>
    <t>tsd = Tasa de seguro de desgravamen</t>
  </si>
  <si>
    <t>Seguro de Desgravamen Mensual Constante (SD):</t>
  </si>
  <si>
    <t>i = Mes correspondiente</t>
  </si>
  <si>
    <t>Saldo Final (SF)</t>
  </si>
  <si>
    <t>Tasa de Seguro de Desgravamen (tsd)</t>
  </si>
  <si>
    <t>Tasa de Derecho de emisión de póliza (tp)</t>
  </si>
  <si>
    <t>C = Cuota Mensual</t>
  </si>
  <si>
    <t>P = Monto a desembolsar</t>
  </si>
  <si>
    <t>A = Amortización mensual</t>
  </si>
  <si>
    <t>SI = Saldo Inicial del mes</t>
  </si>
  <si>
    <t>SF = Saldo Final del mes</t>
  </si>
  <si>
    <t>I = Intereses del mes</t>
  </si>
  <si>
    <t>SD = Seguro de Desgravamen del mes</t>
  </si>
  <si>
    <t>T = Total a pagar mensual</t>
  </si>
  <si>
    <t>Leyenda:</t>
  </si>
  <si>
    <t>n = Plazo del Préstamo (meses)</t>
  </si>
  <si>
    <t>Cuota Total a Pagar Mensual (T)</t>
  </si>
  <si>
    <t>Seguro de desgravamen (SD)
Poliza         IGV</t>
  </si>
  <si>
    <t>Tasa de interés efectiva anual equivalente (TIEAEq)</t>
  </si>
  <si>
    <t>Tasa de Interés Efectiva Mensual:</t>
  </si>
  <si>
    <t>PT = Comisión y Gastos por Portes</t>
  </si>
  <si>
    <t>Fórmulas MaxiPréstamo</t>
  </si>
  <si>
    <t>TIEA = Tasa de interés efectiva Anual</t>
  </si>
  <si>
    <r>
      <t>t</t>
    </r>
    <r>
      <rPr>
        <sz val="8"/>
        <rFont val="Arial"/>
        <family val="2"/>
      </rPr>
      <t>m</t>
    </r>
    <r>
      <rPr>
        <sz val="10"/>
        <rFont val="Arial"/>
        <family val="2"/>
      </rPr>
      <t xml:space="preserve"> = Tasa de interés efectiva Mensual</t>
    </r>
  </si>
  <si>
    <t>Periodo de gracia (meses)</t>
  </si>
  <si>
    <t>No</t>
  </si>
  <si>
    <t>Día</t>
  </si>
  <si>
    <t>Ocultar fila</t>
  </si>
  <si>
    <t>configurar</t>
  </si>
  <si>
    <t>Cuota Mensual (C)</t>
  </si>
  <si>
    <t>TOTALES --&gt;</t>
  </si>
  <si>
    <t>Dias Calendario</t>
  </si>
  <si>
    <t>Año Base 360 días</t>
  </si>
  <si>
    <t>Dólares</t>
  </si>
  <si>
    <t>Soles</t>
  </si>
  <si>
    <t>Endosado</t>
  </si>
  <si>
    <t>Tipo de Seguro de Desgravamen</t>
  </si>
  <si>
    <t>Titular</t>
  </si>
  <si>
    <t>Días Calendario</t>
  </si>
  <si>
    <t>Monto del Préstamo</t>
  </si>
  <si>
    <t>Día de Pago</t>
  </si>
  <si>
    <t>Portes</t>
  </si>
  <si>
    <t>Totales</t>
  </si>
  <si>
    <t>Cuota Doble</t>
  </si>
  <si>
    <t>Físico</t>
  </si>
  <si>
    <t>Virtual</t>
  </si>
  <si>
    <t>Fecha Primera Cuota</t>
  </si>
  <si>
    <t>Seguro de desgravamen</t>
  </si>
  <si>
    <t>Interés</t>
  </si>
  <si>
    <t>Amortización</t>
  </si>
  <si>
    <t>Nro Cuota</t>
  </si>
  <si>
    <t>Saldo Capital</t>
  </si>
  <si>
    <t>Cuota</t>
  </si>
  <si>
    <t>Cuota Total</t>
  </si>
  <si>
    <t>Número de Cuotas</t>
  </si>
  <si>
    <t>Notas:</t>
  </si>
  <si>
    <t>1) El año base para el cálculo de las tasas de interés es de 360 días.</t>
  </si>
  <si>
    <t>2) Los datos que se muestran en este simulador son referenciales y están sujetos a evaluación, podría no coincidir con la información del cronograma definitivo. Los datos podrán variar dependiendo de la fecha real de desembolso y la fecha del primer vencimiento. Este documento no constituye aprobación del préstamo.</t>
  </si>
  <si>
    <t>Editar, se debe mostrar unicamente las opciones de dia de pago (2,7,14).</t>
  </si>
  <si>
    <t>Tasa de Costo Efectivo Anual (TCEA)</t>
  </si>
  <si>
    <t>Tasa de Interés Compensatorio Efectiva Anual (TEA Fija)</t>
  </si>
  <si>
    <t>Envio Estado de Cuenta*</t>
  </si>
  <si>
    <t>Seguro de Desgravamen Mensual**</t>
  </si>
  <si>
    <t>Días de Pago</t>
  </si>
  <si>
    <t>La opción de macros en MS-Excel debe estar habilitada para el completo funcionamiento de los simuladores.
(***) El valor final de la primera cuota mostrada considera el cálculo de intereses de gracia de 30 días, únicamente.</t>
  </si>
  <si>
    <t>(***)</t>
  </si>
  <si>
    <t>Mancomunado</t>
  </si>
  <si>
    <t>(*) El cálculo de la comisión se realiza en base a un tipo de cambio referencial de S/ 4.00. La información de esta comisión se encuentra disponible en el "Tarifario" ubicado en www.santanderconsumer.com.pe.</t>
  </si>
  <si>
    <t>(**) Usted tiene derecho a contratar el seguro de desgravamen y endosarlo a favor de Santander Consumer hasta el monto del saldo adeudado. Las condiciones del endoso se encuentra en www.santanderconsumer.com.pe.</t>
  </si>
  <si>
    <t>SIMULADOR - PRÉSTAMO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</si>
</sst>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00%"/>
    <numFmt numFmtId="166" formatCode="0.0000000%"/>
    <numFmt numFmtId="167" formatCode="0.0000000000"/>
    <numFmt numFmtId="168" formatCode="0.0000%"/>
    <numFmt numFmtId="169" formatCode="0.00000%"/>
    <numFmt numFmtId="170" formatCode="#,##0.00000"/>
    <numFmt numFmtId="171" formatCode="0.0%"/>
    <numFmt numFmtId="172" formatCode="0.0000000"/>
  </numFmts>
  <fonts count="24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/>
      <top style="medium">
        <color indexed="9"/>
      </top>
      <bottom style="thin">
        <color theme="0"/>
      </bottom>
      <diagonal/>
    </border>
    <border>
      <left/>
      <right style="thin">
        <color theme="0"/>
      </right>
      <top style="medium">
        <color indexed="9"/>
      </top>
      <bottom style="thin">
        <color theme="0"/>
      </bottom>
      <diagonal/>
    </border>
    <border>
      <left/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9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9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 style="thin">
        <color theme="0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8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4" fontId="8" fillId="0" borderId="6" xfId="0" applyNumberFormat="1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10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22" xfId="0" applyFont="1" applyBorder="1" applyProtection="1"/>
    <xf numFmtId="0" fontId="8" fillId="0" borderId="19" xfId="0" applyFont="1" applyBorder="1" applyProtection="1"/>
    <xf numFmtId="0" fontId="12" fillId="0" borderId="19" xfId="0" applyFont="1" applyBorder="1" applyProtection="1"/>
    <xf numFmtId="0" fontId="13" fillId="0" borderId="19" xfId="0" applyFont="1" applyBorder="1" applyProtection="1"/>
    <xf numFmtId="0" fontId="12" fillId="0" borderId="20" xfId="0" applyFont="1" applyBorder="1" applyProtection="1"/>
    <xf numFmtId="0" fontId="12" fillId="0" borderId="0" xfId="0" applyFont="1" applyProtection="1"/>
    <xf numFmtId="0" fontId="13" fillId="0" borderId="0" xfId="0" applyFont="1" applyProtection="1"/>
    <xf numFmtId="0" fontId="12" fillId="0" borderId="2" xfId="0" applyFont="1" applyBorder="1" applyProtection="1"/>
    <xf numFmtId="14" fontId="8" fillId="0" borderId="0" xfId="0" applyNumberFormat="1" applyFont="1" applyProtection="1"/>
    <xf numFmtId="4" fontId="8" fillId="0" borderId="6" xfId="0" applyNumberFormat="1" applyFont="1" applyBorder="1" applyAlignment="1" applyProtection="1">
      <alignment horizontal="center"/>
    </xf>
    <xf numFmtId="0" fontId="19" fillId="6" borderId="10" xfId="0" applyFont="1" applyFill="1" applyBorder="1" applyProtection="1"/>
    <xf numFmtId="0" fontId="13" fillId="0" borderId="21" xfId="0" applyFont="1" applyBorder="1" applyProtection="1"/>
    <xf numFmtId="0" fontId="12" fillId="5" borderId="0" xfId="0" applyFont="1" applyFill="1" applyProtection="1"/>
    <xf numFmtId="0" fontId="13" fillId="5" borderId="0" xfId="0" applyFont="1" applyFill="1" applyProtection="1"/>
    <xf numFmtId="0" fontId="14" fillId="6" borderId="1" xfId="0" applyFont="1" applyFill="1" applyBorder="1" applyProtection="1"/>
    <xf numFmtId="0" fontId="14" fillId="6" borderId="0" xfId="0" applyFont="1" applyFill="1" applyProtection="1"/>
    <xf numFmtId="165" fontId="8" fillId="0" borderId="2" xfId="0" applyNumberFormat="1" applyFont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21" fillId="0" borderId="0" xfId="0" applyFont="1" applyProtection="1"/>
    <xf numFmtId="0" fontId="22" fillId="0" borderId="0" xfId="0" applyFont="1" applyProtection="1"/>
    <xf numFmtId="0" fontId="8" fillId="0" borderId="6" xfId="0" applyFont="1" applyBorder="1" applyAlignment="1" applyProtection="1">
      <alignment horizontal="center"/>
    </xf>
    <xf numFmtId="14" fontId="8" fillId="7" borderId="6" xfId="0" applyNumberFormat="1" applyFont="1" applyFill="1" applyBorder="1" applyAlignment="1" applyProtection="1">
      <alignment horizontal="center"/>
    </xf>
    <xf numFmtId="0" fontId="16" fillId="0" borderId="0" xfId="0" applyFont="1" applyProtection="1"/>
    <xf numFmtId="169" fontId="15" fillId="0" borderId="0" xfId="0" applyNumberFormat="1" applyFont="1" applyProtection="1"/>
    <xf numFmtId="166" fontId="22" fillId="0" borderId="0" xfId="2" applyNumberFormat="1" applyFont="1" applyBorder="1" applyProtection="1"/>
    <xf numFmtId="10" fontId="8" fillId="0" borderId="6" xfId="0" applyNumberFormat="1" applyFont="1" applyBorder="1" applyAlignment="1" applyProtection="1">
      <alignment horizontal="center"/>
    </xf>
    <xf numFmtId="0" fontId="9" fillId="5" borderId="0" xfId="0" applyFont="1" applyFill="1" applyProtection="1"/>
    <xf numFmtId="169" fontId="8" fillId="0" borderId="0" xfId="0" applyNumberFormat="1" applyFont="1" applyProtection="1"/>
    <xf numFmtId="168" fontId="15" fillId="0" borderId="0" xfId="2" applyNumberFormat="1" applyFont="1" applyBorder="1" applyProtection="1"/>
    <xf numFmtId="2" fontId="16" fillId="0" borderId="0" xfId="0" applyNumberFormat="1" applyFont="1" applyProtection="1"/>
    <xf numFmtId="0" fontId="15" fillId="0" borderId="0" xfId="0" applyFont="1" applyProtection="1"/>
    <xf numFmtId="0" fontId="9" fillId="0" borderId="2" xfId="0" applyFont="1" applyBorder="1" applyProtection="1"/>
    <xf numFmtId="0" fontId="14" fillId="6" borderId="3" xfId="0" applyFont="1" applyFill="1" applyBorder="1" applyProtection="1"/>
    <xf numFmtId="0" fontId="14" fillId="6" borderId="4" xfId="0" applyFont="1" applyFill="1" applyBorder="1" applyProtection="1"/>
    <xf numFmtId="0" fontId="17" fillId="2" borderId="1" xfId="0" applyFont="1" applyFill="1" applyBorder="1" applyProtection="1"/>
    <xf numFmtId="0" fontId="17" fillId="2" borderId="0" xfId="0" applyFont="1" applyFill="1" applyProtection="1"/>
    <xf numFmtId="0" fontId="17" fillId="2" borderId="2" xfId="0" applyFont="1" applyFill="1" applyBorder="1" applyProtection="1"/>
    <xf numFmtId="0" fontId="17" fillId="2" borderId="3" xfId="0" applyFont="1" applyFill="1" applyBorder="1" applyProtection="1"/>
    <xf numFmtId="0" fontId="17" fillId="2" borderId="4" xfId="0" applyFont="1" applyFill="1" applyBorder="1" applyProtection="1"/>
    <xf numFmtId="0" fontId="17" fillId="2" borderId="5" xfId="0" applyFont="1" applyFill="1" applyBorder="1" applyProtection="1"/>
    <xf numFmtId="10" fontId="8" fillId="0" borderId="5" xfId="0" applyNumberFormat="1" applyFont="1" applyBorder="1" applyAlignment="1" applyProtection="1">
      <alignment horizontal="center"/>
    </xf>
    <xf numFmtId="0" fontId="8" fillId="0" borderId="1" xfId="0" applyFont="1" applyBorder="1" applyProtection="1"/>
    <xf numFmtId="164" fontId="8" fillId="0" borderId="0" xfId="1" applyFont="1" applyFill="1" applyBorder="1" applyProtection="1"/>
    <xf numFmtId="10" fontId="8" fillId="7" borderId="10" xfId="0" applyNumberFormat="1" applyFont="1" applyFill="1" applyBorder="1" applyAlignment="1" applyProtection="1">
      <alignment horizontal="center"/>
    </xf>
    <xf numFmtId="171" fontId="15" fillId="0" borderId="0" xfId="0" applyNumberFormat="1" applyFont="1" applyProtection="1"/>
    <xf numFmtId="0" fontId="19" fillId="0" borderId="0" xfId="0" applyFont="1" applyProtection="1"/>
    <xf numFmtId="4" fontId="15" fillId="0" borderId="0" xfId="0" applyNumberFormat="1" applyFont="1" applyAlignment="1" applyProtection="1">
      <alignment horizontal="center"/>
    </xf>
    <xf numFmtId="0" fontId="9" fillId="0" borderId="1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5" xfId="0" applyFont="1" applyBorder="1" applyProtection="1"/>
    <xf numFmtId="0" fontId="14" fillId="6" borderId="22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14" fillId="6" borderId="25" xfId="0" applyFont="1" applyFill="1" applyBorder="1" applyAlignment="1" applyProtection="1">
      <alignment horizontal="center" vertical="center" wrapText="1"/>
    </xf>
    <xf numFmtId="0" fontId="14" fillId="6" borderId="26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14" fillId="6" borderId="40" xfId="0" applyFont="1" applyFill="1" applyBorder="1" applyAlignment="1" applyProtection="1">
      <alignment horizontal="center" vertical="center" wrapText="1"/>
    </xf>
    <xf numFmtId="0" fontId="14" fillId="6" borderId="3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right" vertical="center" wrapText="1"/>
    </xf>
    <xf numFmtId="0" fontId="14" fillId="2" borderId="35" xfId="0" applyFont="1" applyFill="1" applyBorder="1" applyAlignment="1" applyProtection="1">
      <alignment horizontal="right" vertical="center" wrapText="1"/>
    </xf>
    <xf numFmtId="4" fontId="14" fillId="2" borderId="30" xfId="0" applyNumberFormat="1" applyFont="1" applyFill="1" applyBorder="1" applyAlignment="1" applyProtection="1">
      <alignment horizontal="center" vertical="center" wrapText="1"/>
    </xf>
    <xf numFmtId="4" fontId="14" fillId="2" borderId="31" xfId="0" applyNumberFormat="1" applyFont="1" applyFill="1" applyBorder="1" applyAlignment="1" applyProtection="1">
      <alignment horizontal="center" vertical="center" wrapText="1"/>
    </xf>
    <xf numFmtId="4" fontId="14" fillId="2" borderId="32" xfId="0" applyNumberFormat="1" applyFont="1" applyFill="1" applyBorder="1" applyAlignment="1" applyProtection="1">
      <alignment horizontal="center" vertical="center" wrapText="1"/>
    </xf>
    <xf numFmtId="4" fontId="14" fillId="2" borderId="33" xfId="0" applyNumberFormat="1" applyFont="1" applyFill="1" applyBorder="1" applyAlignment="1" applyProtection="1">
      <alignment horizontal="center" vertical="center" wrapText="1"/>
    </xf>
    <xf numFmtId="4" fontId="14" fillId="2" borderId="27" xfId="0" applyNumberFormat="1" applyFont="1" applyFill="1" applyBorder="1" applyAlignment="1" applyProtection="1">
      <alignment horizontal="center" vertical="center" wrapText="1"/>
    </xf>
    <xf numFmtId="4" fontId="14" fillId="2" borderId="3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/>
    </xf>
    <xf numFmtId="4" fontId="8" fillId="0" borderId="14" xfId="0" applyNumberFormat="1" applyFont="1" applyBorder="1" applyProtection="1"/>
    <xf numFmtId="4" fontId="8" fillId="0" borderId="15" xfId="0" applyNumberFormat="1" applyFont="1" applyBorder="1" applyProtection="1"/>
    <xf numFmtId="4" fontId="8" fillId="0" borderId="0" xfId="0" applyNumberFormat="1" applyFont="1" applyProtection="1"/>
    <xf numFmtId="4" fontId="9" fillId="0" borderId="23" xfId="0" applyNumberFormat="1" applyFont="1" applyBorder="1" applyProtection="1"/>
    <xf numFmtId="4" fontId="9" fillId="0" borderId="38" xfId="0" applyNumberFormat="1" applyFont="1" applyBorder="1" applyProtection="1"/>
    <xf numFmtId="167" fontId="8" fillId="0" borderId="0" xfId="0" applyNumberFormat="1" applyFont="1" applyProtection="1"/>
    <xf numFmtId="2" fontId="8" fillId="0" borderId="0" xfId="0" applyNumberFormat="1" applyFont="1" applyProtection="1"/>
    <xf numFmtId="3" fontId="8" fillId="0" borderId="0" xfId="0" applyNumberFormat="1" applyFont="1" applyProtection="1"/>
    <xf numFmtId="4" fontId="8" fillId="0" borderId="23" xfId="0" applyNumberFormat="1" applyFont="1" applyBorder="1" applyProtection="1"/>
    <xf numFmtId="4" fontId="9" fillId="0" borderId="39" xfId="0" applyNumberFormat="1" applyFont="1" applyBorder="1" applyProtection="1"/>
    <xf numFmtId="0" fontId="23" fillId="0" borderId="0" xfId="0" applyFont="1" applyProtection="1"/>
    <xf numFmtId="1" fontId="8" fillId="0" borderId="0" xfId="0" applyNumberFormat="1" applyFont="1" applyProtection="1"/>
    <xf numFmtId="170" fontId="8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4" fontId="8" fillId="0" borderId="4" xfId="0" applyNumberFormat="1" applyFont="1" applyBorder="1" applyProtection="1"/>
    <xf numFmtId="0" fontId="19" fillId="6" borderId="19" xfId="0" applyFont="1" applyFill="1" applyBorder="1" applyProtection="1"/>
    <xf numFmtId="4" fontId="19" fillId="6" borderId="19" xfId="0" applyNumberFormat="1" applyFont="1" applyFill="1" applyBorder="1" applyProtection="1"/>
    <xf numFmtId="0" fontId="8" fillId="8" borderId="0" xfId="0" applyFont="1" applyFill="1" applyProtection="1"/>
    <xf numFmtId="0" fontId="20" fillId="8" borderId="0" xfId="0" applyFont="1" applyFill="1" applyProtection="1"/>
    <xf numFmtId="0" fontId="9" fillId="8" borderId="0" xfId="0" applyFont="1" applyFill="1" applyProtection="1"/>
    <xf numFmtId="0" fontId="19" fillId="0" borderId="2" xfId="0" applyFont="1" applyBorder="1" applyProtection="1"/>
    <xf numFmtId="0" fontId="13" fillId="7" borderId="6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Protection="1"/>
    <xf numFmtId="0" fontId="14" fillId="6" borderId="0" xfId="0" applyFont="1" applyFill="1" applyProtection="1"/>
    <xf numFmtId="10" fontId="8" fillId="0" borderId="0" xfId="0" applyNumberFormat="1" applyFont="1" applyAlignment="1" applyProtection="1">
      <alignment horizontal="center" vertical="center"/>
    </xf>
    <xf numFmtId="172" fontId="8" fillId="0" borderId="0" xfId="0" applyNumberFormat="1" applyFont="1" applyProtection="1"/>
    <xf numFmtId="168" fontId="8" fillId="0" borderId="0" xfId="2" applyNumberFormat="1" applyFont="1" applyProtection="1"/>
    <xf numFmtId="169" fontId="8" fillId="0" borderId="0" xfId="0" applyNumberFormat="1" applyFont="1" applyAlignment="1" applyProtection="1">
      <alignment horizontal="center" vertical="center"/>
    </xf>
    <xf numFmtId="169" fontId="8" fillId="0" borderId="2" xfId="0" applyNumberFormat="1" applyFont="1" applyBorder="1" applyAlignment="1" applyProtection="1">
      <alignment horizontal="center"/>
    </xf>
    <xf numFmtId="2" fontId="8" fillId="0" borderId="6" xfId="1" applyNumberFormat="1" applyFont="1" applyBorder="1" applyAlignment="1" applyProtection="1">
      <alignment horizontal="center" vertical="center"/>
    </xf>
    <xf numFmtId="168" fontId="8" fillId="7" borderId="7" xfId="2" applyNumberFormat="1" applyFont="1" applyFill="1" applyBorder="1" applyAlignment="1" applyProtection="1">
      <alignment horizontal="center" vertical="center"/>
    </xf>
    <xf numFmtId="4" fontId="8" fillId="4" borderId="6" xfId="0" applyNumberFormat="1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</xf>
    <xf numFmtId="0" fontId="11" fillId="3" borderId="9" xfId="0" applyFont="1" applyFill="1" applyBorder="1" applyProtection="1"/>
    <xf numFmtId="0" fontId="11" fillId="3" borderId="10" xfId="0" applyFont="1" applyFill="1" applyBorder="1" applyProtection="1"/>
    <xf numFmtId="0" fontId="14" fillId="6" borderId="22" xfId="0" applyFont="1" applyFill="1" applyBorder="1" applyProtection="1"/>
    <xf numFmtId="0" fontId="14" fillId="6" borderId="19" xfId="0" applyFont="1" applyFill="1" applyBorder="1" applyProtection="1"/>
    <xf numFmtId="0" fontId="14" fillId="6" borderId="1" xfId="0" applyFont="1" applyFill="1" applyBorder="1" applyProtection="1"/>
    <xf numFmtId="0" fontId="14" fillId="6" borderId="0" xfId="0" applyFont="1" applyFill="1" applyProtection="1"/>
    <xf numFmtId="0" fontId="14" fillId="6" borderId="1" xfId="0" applyFont="1" applyFill="1" applyBorder="1" applyAlignment="1" applyProtection="1">
      <alignment wrapText="1"/>
    </xf>
    <xf numFmtId="0" fontId="14" fillId="6" borderId="0" xfId="0" applyFont="1" applyFill="1" applyAlignment="1" applyProtection="1">
      <alignment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top"/>
    </xf>
    <xf numFmtId="0" fontId="14" fillId="6" borderId="0" xfId="0" applyFont="1" applyFill="1" applyAlignment="1" applyProtection="1">
      <alignment horizontal="left" vertical="top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Protection="1"/>
    <xf numFmtId="0" fontId="14" fillId="6" borderId="9" xfId="0" applyFont="1" applyFill="1" applyBorder="1" applyProtection="1"/>
    <xf numFmtId="0" fontId="14" fillId="6" borderId="10" xfId="0" applyFont="1" applyFill="1" applyBorder="1" applyProtection="1"/>
    <xf numFmtId="0" fontId="18" fillId="6" borderId="19" xfId="0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left" vertical="justify"/>
    </xf>
    <xf numFmtId="0" fontId="1" fillId="8" borderId="0" xfId="0" applyFont="1" applyFill="1" applyAlignment="1" applyProtection="1">
      <alignment horizontal="justify" vertical="center" wrapText="1"/>
    </xf>
    <xf numFmtId="0" fontId="0" fillId="8" borderId="0" xfId="0" applyFill="1" applyAlignment="1" applyProtection="1">
      <alignment horizontal="justify" vertical="center" wrapText="1"/>
    </xf>
    <xf numFmtId="49" fontId="0" fillId="8" borderId="0" xfId="0" applyNumberFormat="1" applyFill="1" applyAlignment="1" applyProtection="1">
      <alignment horizontal="justify" vertical="top"/>
    </xf>
    <xf numFmtId="0" fontId="0" fillId="0" borderId="0" xfId="0" applyAlignment="1" applyProtection="1"/>
    <xf numFmtId="0" fontId="0" fillId="0" borderId="0" xfId="0" applyProtection="1"/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wmf"/><Relationship Id="rId7" Type="http://schemas.openxmlformats.org/officeDocument/2006/relationships/image" Target="../media/image8.emf"/><Relationship Id="rId2" Type="http://schemas.openxmlformats.org/officeDocument/2006/relationships/image" Target="../media/image3.wmf"/><Relationship Id="rId1" Type="http://schemas.openxmlformats.org/officeDocument/2006/relationships/image" Target="../media/image2.e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172418</xdr:colOff>
      <xdr:row>28</xdr:row>
      <xdr:rowOff>48866</xdr:rowOff>
    </xdr:from>
    <xdr:to>
      <xdr:col>4</xdr:col>
      <xdr:colOff>945736</xdr:colOff>
      <xdr:row>30</xdr:row>
      <xdr:rowOff>27609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2418" y="3541366"/>
          <a:ext cx="3906905" cy="15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E" sz="800" b="1" i="1" baseline="0">
              <a:latin typeface="Arial" pitchFamily="34" charset="0"/>
              <a:ea typeface="+mn-ea"/>
              <a:cs typeface="Arial" pitchFamily="34" charset="0"/>
            </a:rPr>
            <a:t>Revisar las notas ubicadas al final del cronograma</a:t>
          </a:r>
        </a:p>
      </xdr:txBody>
    </xdr:sp>
    <xdr:clientData/>
  </xdr:twoCellAnchor>
  <xdr:twoCellAnchor editAs="oneCell">
    <xdr:from>
      <xdr:col>1</xdr:col>
      <xdr:colOff>41413</xdr:colOff>
      <xdr:row>0</xdr:row>
      <xdr:rowOff>58317</xdr:rowOff>
    </xdr:from>
    <xdr:to>
      <xdr:col>2</xdr:col>
      <xdr:colOff>875143</xdr:colOff>
      <xdr:row>4</xdr:row>
      <xdr:rowOff>86422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72" y="58317"/>
          <a:ext cx="2091358" cy="69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752475</xdr:colOff>
      <xdr:row>5</xdr:row>
      <xdr:rowOff>114300</xdr:rowOff>
    </xdr:to>
    <xdr:pic>
      <xdr:nvPicPr>
        <xdr:cNvPr id="3099" name="Picture 10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324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146050</xdr:colOff>
          <xdr:row>12</xdr:row>
          <xdr:rowOff>69850</xdr:rowOff>
        </xdr:from>
        <xdr:to>
          <xdr:col>4</xdr:col>
          <xdr:colOff>31750</xdr:colOff>
          <xdr:row>16</xdr:row>
          <xdr:rowOff>127000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88900</xdr:colOff>
          <xdr:row>24</xdr:row>
          <xdr:rowOff>50800</xdr:rowOff>
        </xdr:from>
        <xdr:to>
          <xdr:col>3</xdr:col>
          <xdr:colOff>488950</xdr:colOff>
          <xdr:row>28</xdr:row>
          <xdr:rowOff>12700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24</xdr:row>
          <xdr:rowOff>107950</xdr:rowOff>
        </xdr:from>
        <xdr:to>
          <xdr:col>6</xdr:col>
          <xdr:colOff>717550</xdr:colOff>
          <xdr:row>28</xdr:row>
          <xdr:rowOff>69850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2</xdr:col>
          <xdr:colOff>457200</xdr:colOff>
          <xdr:row>33</xdr:row>
          <xdr:rowOff>31750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37</xdr:row>
          <xdr:rowOff>146050</xdr:rowOff>
        </xdr:from>
        <xdr:to>
          <xdr:col>2</xdr:col>
          <xdr:colOff>431800</xdr:colOff>
          <xdr:row>40</xdr:row>
          <xdr:rowOff>31750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50800</xdr:rowOff>
        </xdr:from>
        <xdr:to>
          <xdr:col>2</xdr:col>
          <xdr:colOff>717550</xdr:colOff>
          <xdr:row>22</xdr:row>
          <xdr:rowOff>69850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</xdr:colOff>
          <xdr:row>13</xdr:row>
          <xdr:rowOff>0</xdr:rowOff>
        </xdr:from>
        <xdr:to>
          <xdr:col>7</xdr:col>
          <xdr:colOff>203200</xdr:colOff>
          <xdr:row>16</xdr:row>
          <xdr:rowOff>107950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37</xdr:row>
          <xdr:rowOff>127000</xdr:rowOff>
        </xdr:from>
        <xdr:to>
          <xdr:col>6</xdr:col>
          <xdr:colOff>279400</xdr:colOff>
          <xdr:row>40</xdr:row>
          <xdr:rowOff>12700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30</xdr:row>
          <xdr:rowOff>88900</xdr:rowOff>
        </xdr:from>
        <xdr:to>
          <xdr:col>8</xdr:col>
          <xdr:colOff>755650</xdr:colOff>
          <xdr:row>34</xdr:row>
          <xdr:rowOff>88900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15"/>
  <sheetViews>
    <sheetView showGridLines="0" showRowColHeaders="0" tabSelected="1" zoomScale="70" zoomScaleNormal="70" workbookViewId="0">
      <selection activeCell="E8" sqref="E8"/>
    </sheetView>
  </sheetViews>
  <sheetFormatPr baseColWidth="10" defaultColWidth="0" defaultRowHeight="13" zeroHeight="1" x14ac:dyDescent="0.3"/>
  <cols>
    <col min="1" max="1" width="2.54296875" style="19" customWidth="1" collapsed="1"/>
    <col min="2" max="2" width="16.81640625" style="19" customWidth="1" collapsed="1"/>
    <col min="3" max="3" width="19" style="19" customWidth="1" collapsed="1"/>
    <col min="4" max="4" width="19.08984375" style="19" customWidth="1" collapsed="1"/>
    <col min="5" max="5" width="18" style="19" customWidth="1" collapsed="1"/>
    <col min="6" max="6" width="15.54296875" style="19" customWidth="1" collapsed="1"/>
    <col min="7" max="7" width="15.453125" style="19" customWidth="1" collapsed="1"/>
    <col min="8" max="8" width="15.54296875" style="20" customWidth="1" collapsed="1"/>
    <col min="9" max="9" width="14.54296875" style="19" customWidth="1" collapsed="1"/>
    <col min="10" max="10" width="19" style="19" customWidth="1" collapsed="1"/>
    <col min="11" max="11" width="21.453125" style="19" customWidth="1" collapsed="1"/>
    <col min="12" max="12" width="26.36328125" style="20" customWidth="1" collapsed="1"/>
    <col min="13" max="13" width="3.7265625" style="19" customWidth="1" collapsed="1"/>
    <col min="14" max="21" width="0" style="19" hidden="1" customWidth="1" collapsed="1"/>
    <col min="22" max="23" width="0" style="21" hidden="1" customWidth="1" collapsed="1"/>
    <col min="24" max="31" width="0" style="19" hidden="1" customWidth="1" collapsed="1"/>
    <col min="32" max="16384" width="40.7265625" style="19" hidden="1" collapsed="1"/>
  </cols>
  <sheetData>
    <row r="1" spans="2:21" x14ac:dyDescent="0.3"/>
    <row r="2" spans="2:21" x14ac:dyDescent="0.3"/>
    <row r="3" spans="2:21" x14ac:dyDescent="0.3"/>
    <row r="4" spans="2:21" x14ac:dyDescent="0.3">
      <c r="O4" s="118"/>
      <c r="S4" s="19">
        <v>2</v>
      </c>
      <c r="U4" s="19">
        <v>1</v>
      </c>
    </row>
    <row r="5" spans="2:21" ht="13.5" thickBot="1" x14ac:dyDescent="0.35">
      <c r="S5" s="19">
        <v>7</v>
      </c>
      <c r="U5" s="19">
        <v>2</v>
      </c>
    </row>
    <row r="6" spans="2:21" ht="24" thickBot="1" x14ac:dyDescent="0.6">
      <c r="B6" s="124" t="s">
        <v>79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  <c r="S6" s="19">
        <v>14</v>
      </c>
      <c r="U6" s="19">
        <v>3</v>
      </c>
    </row>
    <row r="7" spans="2:21" ht="13.5" thickBot="1" x14ac:dyDescent="0.35">
      <c r="B7" s="22"/>
      <c r="C7" s="23"/>
      <c r="D7" s="23"/>
      <c r="E7" s="23"/>
      <c r="F7" s="23"/>
      <c r="G7" s="23"/>
      <c r="H7" s="24"/>
      <c r="I7" s="25"/>
      <c r="J7" s="25"/>
      <c r="K7" s="25"/>
      <c r="L7" s="26"/>
      <c r="U7" s="19">
        <v>4</v>
      </c>
    </row>
    <row r="8" spans="2:21" x14ac:dyDescent="0.3">
      <c r="B8" s="127" t="s">
        <v>0</v>
      </c>
      <c r="C8" s="128"/>
      <c r="D8" s="128"/>
      <c r="E8" s="17" t="s">
        <v>44</v>
      </c>
      <c r="H8" s="27"/>
      <c r="I8" s="28"/>
      <c r="J8" s="28"/>
      <c r="K8" s="28"/>
      <c r="L8" s="29"/>
      <c r="O8" s="30">
        <f>E12+20</f>
        <v>44944</v>
      </c>
      <c r="U8" s="19">
        <v>5</v>
      </c>
    </row>
    <row r="9" spans="2:21" x14ac:dyDescent="0.3">
      <c r="B9" s="129" t="s">
        <v>49</v>
      </c>
      <c r="C9" s="130"/>
      <c r="D9" s="130"/>
      <c r="E9" s="16">
        <v>10000</v>
      </c>
      <c r="G9" s="30"/>
      <c r="H9" s="27"/>
      <c r="I9" s="28"/>
      <c r="J9" s="28"/>
      <c r="K9" s="28"/>
      <c r="L9" s="29"/>
      <c r="N9" s="19">
        <f>IF(E8="Dólares",22000,66000)</f>
        <v>66000</v>
      </c>
      <c r="U9" s="19">
        <v>6</v>
      </c>
    </row>
    <row r="10" spans="2:21" ht="13.5" hidden="1" thickBot="1" x14ac:dyDescent="0.35">
      <c r="B10" s="129" t="s">
        <v>50</v>
      </c>
      <c r="C10" s="130"/>
      <c r="D10" s="130"/>
      <c r="E10" s="31" t="s">
        <v>48</v>
      </c>
      <c r="F10" s="32" t="s">
        <v>36</v>
      </c>
      <c r="G10" s="33">
        <f>+E11</f>
        <v>7</v>
      </c>
      <c r="H10" s="34" t="s">
        <v>68</v>
      </c>
      <c r="I10" s="35"/>
      <c r="J10" s="35"/>
      <c r="K10" s="35"/>
      <c r="L10" s="29"/>
      <c r="O10" s="19" t="s">
        <v>47</v>
      </c>
      <c r="P10" s="119">
        <v>1.2700000000000001E-3</v>
      </c>
      <c r="R10" s="19">
        <v>1</v>
      </c>
      <c r="S10" s="19">
        <v>1</v>
      </c>
      <c r="U10" s="19">
        <v>7</v>
      </c>
    </row>
    <row r="11" spans="2:21" x14ac:dyDescent="0.3">
      <c r="B11" s="36" t="s">
        <v>73</v>
      </c>
      <c r="C11" s="37"/>
      <c r="D11" s="37"/>
      <c r="E11" s="113">
        <v>7</v>
      </c>
      <c r="H11" s="19"/>
      <c r="I11" s="28"/>
      <c r="J11" s="27"/>
      <c r="K11" s="27"/>
      <c r="L11" s="29"/>
      <c r="O11" s="19" t="s">
        <v>45</v>
      </c>
      <c r="P11" s="116">
        <v>0</v>
      </c>
    </row>
    <row r="12" spans="2:21" x14ac:dyDescent="0.3">
      <c r="B12" s="129" t="s">
        <v>2</v>
      </c>
      <c r="C12" s="130"/>
      <c r="D12" s="130"/>
      <c r="E12" s="14">
        <v>44924</v>
      </c>
      <c r="H12" s="27"/>
      <c r="I12" s="28"/>
      <c r="J12" s="28"/>
      <c r="K12" s="28"/>
      <c r="L12" s="29"/>
      <c r="O12" s="19" t="s">
        <v>76</v>
      </c>
      <c r="P12" s="120">
        <v>1.897E-3</v>
      </c>
      <c r="R12" s="19">
        <f>R10+1</f>
        <v>2</v>
      </c>
      <c r="S12" s="19">
        <v>1</v>
      </c>
      <c r="U12" s="19">
        <v>8</v>
      </c>
    </row>
    <row r="13" spans="2:21" hidden="1" x14ac:dyDescent="0.3">
      <c r="B13" s="129" t="s">
        <v>34</v>
      </c>
      <c r="C13" s="130"/>
      <c r="D13" s="130"/>
      <c r="E13" s="39"/>
      <c r="G13" s="40"/>
      <c r="H13" s="41"/>
      <c r="I13" s="28"/>
      <c r="J13" s="28"/>
      <c r="K13" s="28"/>
      <c r="L13" s="29"/>
      <c r="O13" s="19" t="s">
        <v>45</v>
      </c>
      <c r="P13" s="19">
        <v>0</v>
      </c>
      <c r="R13" s="19">
        <f t="shared" ref="R13:R22" si="0">R12+1</f>
        <v>3</v>
      </c>
      <c r="S13" s="19">
        <v>1</v>
      </c>
      <c r="U13" s="19">
        <v>9</v>
      </c>
    </row>
    <row r="14" spans="2:21" x14ac:dyDescent="0.3">
      <c r="B14" s="129" t="s">
        <v>53</v>
      </c>
      <c r="C14" s="130"/>
      <c r="D14" s="130"/>
      <c r="E14" s="15" t="s">
        <v>35</v>
      </c>
      <c r="G14" s="40"/>
      <c r="H14" s="40"/>
      <c r="L14" s="112">
        <v>2</v>
      </c>
      <c r="R14" s="19">
        <f t="shared" si="0"/>
        <v>4</v>
      </c>
      <c r="S14" s="19">
        <v>1</v>
      </c>
      <c r="U14" s="19">
        <v>10</v>
      </c>
    </row>
    <row r="15" spans="2:21" x14ac:dyDescent="0.3">
      <c r="B15" s="129" t="s">
        <v>56</v>
      </c>
      <c r="C15" s="130"/>
      <c r="D15" s="130"/>
      <c r="E15" s="43">
        <f>IF(DAY(O8)&gt;=E11,DATE(YEAR(O8),MONTH(O8)+1+E13,DAY(E11)),DATE(YEAR(O8),MONTH(O8)+E13,DAY(E11)))</f>
        <v>44964</v>
      </c>
      <c r="G15" s="40"/>
      <c r="H15" s="40"/>
      <c r="L15" s="112">
        <v>7</v>
      </c>
      <c r="R15" s="19">
        <f t="shared" si="0"/>
        <v>5</v>
      </c>
      <c r="S15" s="19">
        <v>1</v>
      </c>
      <c r="U15" s="19">
        <v>11</v>
      </c>
    </row>
    <row r="16" spans="2:21" x14ac:dyDescent="0.3">
      <c r="B16" s="131" t="s">
        <v>70</v>
      </c>
      <c r="C16" s="132"/>
      <c r="D16" s="132"/>
      <c r="E16" s="18">
        <v>0.35</v>
      </c>
      <c r="F16" s="44"/>
      <c r="G16" s="45">
        <f>ROUND(((1+E16)^(1/12)) -1,8)</f>
        <v>2.5324059999999999E-2</v>
      </c>
      <c r="H16" s="46"/>
      <c r="I16" s="28"/>
      <c r="J16" s="28"/>
      <c r="K16" s="28"/>
      <c r="L16" s="112">
        <v>14</v>
      </c>
      <c r="R16" s="19">
        <f t="shared" si="0"/>
        <v>6</v>
      </c>
      <c r="S16" s="19">
        <v>1</v>
      </c>
      <c r="U16" s="19">
        <v>12</v>
      </c>
    </row>
    <row r="17" spans="2:31" hidden="1" x14ac:dyDescent="0.3">
      <c r="B17" s="129" t="s">
        <v>28</v>
      </c>
      <c r="C17" s="130"/>
      <c r="D17" s="130"/>
      <c r="E17" s="47">
        <f>((1+E16)^(1/12)*(1+E25*(1+E26)*(1+19%)))^12-1</f>
        <v>0.37468759556150144</v>
      </c>
      <c r="F17" s="48" t="s">
        <v>37</v>
      </c>
      <c r="G17" s="45">
        <f>(1+E24)^(1/30) -1</f>
        <v>4.2307369336302969E-5</v>
      </c>
      <c r="H17" s="41"/>
      <c r="I17" s="28"/>
      <c r="J17" s="28"/>
      <c r="K17" s="28"/>
      <c r="L17" s="29"/>
      <c r="O17" s="49"/>
      <c r="R17" s="19">
        <f t="shared" si="0"/>
        <v>7</v>
      </c>
      <c r="S17" s="19">
        <f>IF($E$14="No",1,2)</f>
        <v>1</v>
      </c>
      <c r="U17" s="19">
        <v>13</v>
      </c>
    </row>
    <row r="18" spans="2:31" x14ac:dyDescent="0.3">
      <c r="B18" s="129" t="s">
        <v>64</v>
      </c>
      <c r="C18" s="130"/>
      <c r="D18" s="130"/>
      <c r="E18" s="15">
        <v>48</v>
      </c>
      <c r="F18" s="44"/>
      <c r="G18" s="50">
        <f>IFERROR(ROUND((1+G16)^(1/30)*(1+G17) -1,8),"-")</f>
        <v>8.7631000000000004E-4</v>
      </c>
      <c r="H18" s="41"/>
      <c r="I18" s="28"/>
      <c r="J18" s="28"/>
      <c r="K18" s="28"/>
      <c r="L18" s="29"/>
      <c r="R18" s="19">
        <f t="shared" si="0"/>
        <v>8</v>
      </c>
      <c r="S18" s="19">
        <v>1</v>
      </c>
      <c r="U18" s="19">
        <v>14</v>
      </c>
    </row>
    <row r="19" spans="2:31" hidden="1" x14ac:dyDescent="0.3">
      <c r="B19" s="129" t="s">
        <v>39</v>
      </c>
      <c r="C19" s="130"/>
      <c r="D19" s="130"/>
      <c r="E19" s="31">
        <f>ROUND(E9/SUMPRODUCT(N34:N105,O34:O105),2)</f>
        <v>377.05</v>
      </c>
      <c r="F19" s="51"/>
      <c r="G19" s="52"/>
      <c r="H19" s="41"/>
      <c r="I19" s="28"/>
      <c r="J19" s="28"/>
      <c r="K19" s="28"/>
      <c r="L19" s="29"/>
      <c r="O19" s="19">
        <f>+(E24+1)^(1/12)</f>
        <v>1.0001057717794524</v>
      </c>
      <c r="R19" s="19">
        <f t="shared" si="0"/>
        <v>9</v>
      </c>
      <c r="S19" s="19">
        <v>1</v>
      </c>
      <c r="U19" s="19">
        <v>15</v>
      </c>
    </row>
    <row r="20" spans="2:31" x14ac:dyDescent="0.3">
      <c r="B20" s="134" t="s">
        <v>71</v>
      </c>
      <c r="C20" s="135"/>
      <c r="D20" s="135"/>
      <c r="E20" s="16" t="s">
        <v>55</v>
      </c>
      <c r="G20" s="40"/>
      <c r="H20" s="41"/>
      <c r="I20" s="28"/>
      <c r="J20" s="28"/>
      <c r="K20" s="28"/>
      <c r="L20" s="29"/>
      <c r="O20" s="19">
        <f>+O19-1</f>
        <v>1.0577177945236826E-4</v>
      </c>
      <c r="U20" s="19">
        <v>16</v>
      </c>
    </row>
    <row r="21" spans="2:31" hidden="1" x14ac:dyDescent="0.3">
      <c r="B21" s="129" t="s">
        <v>51</v>
      </c>
      <c r="C21" s="130"/>
      <c r="D21" s="130"/>
      <c r="E21" s="121">
        <f>IF(E20="Físico",VLOOKUP(E8,R28:S30,2,0),0)</f>
        <v>0</v>
      </c>
      <c r="G21" s="40"/>
      <c r="H21" s="41"/>
      <c r="L21" s="53"/>
      <c r="N21" s="19">
        <v>389.48</v>
      </c>
      <c r="R21" s="19">
        <f>R19+1</f>
        <v>10</v>
      </c>
      <c r="S21" s="19">
        <v>1</v>
      </c>
      <c r="U21" s="19">
        <v>17</v>
      </c>
    </row>
    <row r="22" spans="2:31" hidden="1" x14ac:dyDescent="0.3">
      <c r="B22" s="129" t="s">
        <v>26</v>
      </c>
      <c r="C22" s="130"/>
      <c r="D22" s="130"/>
      <c r="E22" s="31">
        <f>E19+E21</f>
        <v>377.05</v>
      </c>
      <c r="G22" s="40"/>
      <c r="H22" s="41"/>
      <c r="L22" s="53"/>
      <c r="R22" s="19">
        <f t="shared" si="0"/>
        <v>11</v>
      </c>
      <c r="S22" s="19">
        <v>1</v>
      </c>
      <c r="U22" s="19">
        <v>18</v>
      </c>
    </row>
    <row r="23" spans="2:31" x14ac:dyDescent="0.3">
      <c r="B23" s="114" t="s">
        <v>46</v>
      </c>
      <c r="C23" s="115"/>
      <c r="D23" s="115"/>
      <c r="E23" s="123" t="s">
        <v>47</v>
      </c>
      <c r="G23" s="40"/>
      <c r="H23" s="41"/>
      <c r="L23" s="53"/>
      <c r="O23" s="117"/>
    </row>
    <row r="24" spans="2:31" ht="13.5" thickBot="1" x14ac:dyDescent="0.35">
      <c r="B24" s="54" t="s">
        <v>72</v>
      </c>
      <c r="C24" s="55"/>
      <c r="D24" s="55"/>
      <c r="E24" s="122">
        <f>+IFERROR(VLOOKUP(E23,$O$10:$P$12,2,0),"-")</f>
        <v>1.2700000000000001E-3</v>
      </c>
      <c r="G24" s="40"/>
      <c r="H24" s="41"/>
      <c r="L24" s="53"/>
      <c r="U24" s="19">
        <v>19</v>
      </c>
    </row>
    <row r="25" spans="2:31" hidden="1" x14ac:dyDescent="0.3">
      <c r="B25" s="56" t="s">
        <v>14</v>
      </c>
      <c r="C25" s="57"/>
      <c r="D25" s="58"/>
      <c r="E25" s="38">
        <f>VLOOKUP(E23,O10:P13,2,FALSE)</f>
        <v>1.2700000000000001E-3</v>
      </c>
      <c r="F25" s="48" t="s">
        <v>37</v>
      </c>
      <c r="G25" s="40"/>
      <c r="H25" s="41"/>
      <c r="L25" s="53"/>
      <c r="R25" s="19">
        <f>R22+1</f>
        <v>12</v>
      </c>
      <c r="S25" s="19">
        <f>IF($E$14="No",1,2)</f>
        <v>1</v>
      </c>
      <c r="U25" s="19">
        <v>20</v>
      </c>
    </row>
    <row r="26" spans="2:31" ht="13.5" hidden="1" thickBot="1" x14ac:dyDescent="0.35">
      <c r="B26" s="59" t="s">
        <v>15</v>
      </c>
      <c r="C26" s="60"/>
      <c r="D26" s="61"/>
      <c r="E26" s="62">
        <v>0</v>
      </c>
      <c r="F26" s="48" t="s">
        <v>38</v>
      </c>
      <c r="L26" s="53"/>
      <c r="U26" s="19">
        <v>21</v>
      </c>
    </row>
    <row r="27" spans="2:31" ht="13.5" thickBot="1" x14ac:dyDescent="0.35">
      <c r="B27" s="63"/>
      <c r="E27" s="64"/>
      <c r="L27" s="53"/>
      <c r="U27" s="19">
        <v>22</v>
      </c>
    </row>
    <row r="28" spans="2:31" ht="13.5" thickBot="1" x14ac:dyDescent="0.35">
      <c r="B28" s="138" t="s">
        <v>69</v>
      </c>
      <c r="C28" s="139"/>
      <c r="D28" s="140"/>
      <c r="E28" s="65">
        <f>IFERROR((1+F28)^12-1,"-")</f>
        <v>0.38272286536673228</v>
      </c>
      <c r="F28" s="66">
        <f>IFERROR(IRR(L33:L81,10%),"-")</f>
        <v>2.7372481238243651E-2</v>
      </c>
      <c r="G28" s="52"/>
      <c r="H28" s="67"/>
      <c r="I28" s="67"/>
      <c r="J28" s="68">
        <f>SUM(G33:G105)</f>
        <v>7689.15</v>
      </c>
      <c r="L28" s="53"/>
      <c r="Q28" s="19" t="s">
        <v>54</v>
      </c>
      <c r="R28" s="19" t="s">
        <v>43</v>
      </c>
      <c r="S28" s="19">
        <v>2.5</v>
      </c>
      <c r="U28" s="19">
        <v>23</v>
      </c>
    </row>
    <row r="29" spans="2:31" x14ac:dyDescent="0.3">
      <c r="B29" s="69"/>
      <c r="C29" s="20"/>
      <c r="D29" s="20"/>
      <c r="E29" s="20"/>
      <c r="F29" s="20"/>
      <c r="G29" s="20"/>
      <c r="I29" s="20"/>
      <c r="J29" s="20"/>
      <c r="K29" s="20"/>
      <c r="L29" s="53"/>
      <c r="Q29" s="19" t="s">
        <v>55</v>
      </c>
      <c r="R29" s="19" t="s">
        <v>44</v>
      </c>
      <c r="S29" s="19">
        <v>10</v>
      </c>
      <c r="U29" s="19">
        <v>24</v>
      </c>
    </row>
    <row r="30" spans="2:31" ht="13.5" thickBot="1" x14ac:dyDescent="0.3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20"/>
      <c r="R30" s="19" t="s">
        <v>35</v>
      </c>
      <c r="S30" s="19">
        <v>0</v>
      </c>
      <c r="U30" s="19">
        <v>25</v>
      </c>
    </row>
    <row r="31" spans="2:31" s="80" customFormat="1" ht="27" customHeight="1" thickBot="1" x14ac:dyDescent="0.35">
      <c r="B31" s="73" t="s">
        <v>60</v>
      </c>
      <c r="C31" s="74" t="s">
        <v>1</v>
      </c>
      <c r="D31" s="75" t="s">
        <v>61</v>
      </c>
      <c r="E31" s="76" t="s">
        <v>13</v>
      </c>
      <c r="F31" s="77" t="s">
        <v>59</v>
      </c>
      <c r="G31" s="78" t="s">
        <v>58</v>
      </c>
      <c r="H31" s="141" t="s">
        <v>57</v>
      </c>
      <c r="I31" s="141"/>
      <c r="J31" s="74" t="s">
        <v>62</v>
      </c>
      <c r="K31" s="77" t="s">
        <v>51</v>
      </c>
      <c r="L31" s="79" t="s">
        <v>63</v>
      </c>
      <c r="U31" s="19">
        <v>26</v>
      </c>
      <c r="V31" s="133" t="s">
        <v>27</v>
      </c>
      <c r="W31" s="133"/>
      <c r="AD31" s="80" t="s">
        <v>41</v>
      </c>
      <c r="AE31" s="80" t="s">
        <v>42</v>
      </c>
    </row>
    <row r="32" spans="2:31" s="89" customFormat="1" x14ac:dyDescent="0.3">
      <c r="B32" s="81"/>
      <c r="C32" s="82"/>
      <c r="D32" s="136" t="s">
        <v>40</v>
      </c>
      <c r="E32" s="137"/>
      <c r="F32" s="83">
        <f t="shared" ref="F32:G32" si="1">SUM(F34:F105)</f>
        <v>9999.9999999999945</v>
      </c>
      <c r="G32" s="84">
        <f t="shared" si="1"/>
        <v>7689.15</v>
      </c>
      <c r="H32" s="84">
        <f>SUM(H34:H105)</f>
        <v>385.50999999999982</v>
      </c>
      <c r="I32" s="85">
        <f>SUM(I34:I105)</f>
        <v>0</v>
      </c>
      <c r="J32" s="86">
        <f>SUM(J34:J105)</f>
        <v>18074.659999999978</v>
      </c>
      <c r="K32" s="87">
        <f>SUM(K34:K105)</f>
        <v>0</v>
      </c>
      <c r="L32" s="88">
        <f>SUM(L34:L105)</f>
        <v>18074.659999999978</v>
      </c>
      <c r="U32" s="19">
        <v>27</v>
      </c>
    </row>
    <row r="33" spans="2:31" hidden="1" x14ac:dyDescent="0.3">
      <c r="B33" s="42">
        <v>0</v>
      </c>
      <c r="C33" s="90">
        <f>+E12</f>
        <v>44924</v>
      </c>
      <c r="D33" s="91">
        <f>E9</f>
        <v>10000</v>
      </c>
      <c r="E33" s="92">
        <f t="shared" ref="E33:E64" si="2">+D33-F33</f>
        <v>10000</v>
      </c>
      <c r="F33" s="93"/>
      <c r="G33" s="93"/>
      <c r="H33" s="93"/>
      <c r="I33" s="93"/>
      <c r="J33" s="94"/>
      <c r="K33" s="93"/>
      <c r="L33" s="95">
        <f>-(D33-H33)</f>
        <v>-10000</v>
      </c>
      <c r="N33" s="96">
        <f>IF(B33&lt;=$E$18,1/(1+$E$17)^((C33-$C$33)/360),0)</f>
        <v>1</v>
      </c>
      <c r="O33" s="97"/>
      <c r="P33" s="98">
        <f t="shared" ref="P33:P64" si="3">C33-$C$33</f>
        <v>0</v>
      </c>
      <c r="S33" s="40"/>
      <c r="U33" s="19">
        <v>28</v>
      </c>
      <c r="Y33" s="30">
        <f>E12</f>
        <v>44924</v>
      </c>
      <c r="Z33" s="30">
        <f>Y33</f>
        <v>44924</v>
      </c>
      <c r="AA33" s="30">
        <f>Z33</f>
        <v>44924</v>
      </c>
      <c r="AC33" s="21">
        <v>0</v>
      </c>
      <c r="AD33" s="30">
        <f>C33</f>
        <v>44924</v>
      </c>
      <c r="AE33" s="30">
        <f>C33</f>
        <v>44924</v>
      </c>
    </row>
    <row r="34" spans="2:31" x14ac:dyDescent="0.3">
      <c r="B34" s="42">
        <v>1</v>
      </c>
      <c r="C34" s="90">
        <f>$E$15</f>
        <v>44964</v>
      </c>
      <c r="D34" s="91">
        <f t="shared" ref="D34:D65" si="4">+E33</f>
        <v>10000</v>
      </c>
      <c r="E34" s="92">
        <f t="shared" si="2"/>
        <v>9978.9599999999991</v>
      </c>
      <c r="F34" s="93">
        <f>IFERROR(IF(B34&lt;$E$18,ROUND($E$19*O34,2)-G34-H34-I34,D34),0)</f>
        <v>21.040000000000017</v>
      </c>
      <c r="G34" s="93">
        <f>IFERROR(IF($E$19*O34-I34-H34&lt;ROUND(R34,2),$E$19*O34-I34-H34,ROUND(R34,2)),0)</f>
        <v>339.07</v>
      </c>
      <c r="H34" s="93">
        <f>IFERROR(ROUND(V34,2),0)</f>
        <v>16.940000000000001</v>
      </c>
      <c r="I34" s="93">
        <v>0</v>
      </c>
      <c r="J34" s="99">
        <f>+IFERROR(G34+F34+H34,0)</f>
        <v>377.05</v>
      </c>
      <c r="K34" s="93">
        <f t="shared" ref="K34:K65" si="5">+IF(B34&lt;=$E$18,$E$21,0)</f>
        <v>0</v>
      </c>
      <c r="L34" s="100">
        <f>IFERROR(SUM(J34,K34),0)</f>
        <v>377.05</v>
      </c>
      <c r="M34" s="101" t="s">
        <v>75</v>
      </c>
      <c r="N34" s="96">
        <f t="shared" ref="N34:N65" si="6">IF(B34&lt;=$E$18,ROUND((1+$G$18)^(-P34),8),0)</f>
        <v>0.96556964000000001</v>
      </c>
      <c r="O34" s="102">
        <f t="shared" ref="O34:O65" si="7">VLOOKUP(MONTH(C34),$R$10:$S$25,2,0)</f>
        <v>1</v>
      </c>
      <c r="P34" s="98">
        <f t="shared" si="3"/>
        <v>40</v>
      </c>
      <c r="R34" s="93">
        <f t="shared" ref="R34" si="8">D34*((1+$E$16)^((C34-C33)/360)-1)+S33*((1+$E$16)^((C34-C33)/360)-0)</f>
        <v>339.07128874870909</v>
      </c>
      <c r="S34" s="103">
        <f>ROUND(R34-G34,2)</f>
        <v>0</v>
      </c>
      <c r="U34" s="19">
        <v>29</v>
      </c>
      <c r="V34" s="104">
        <f>ROUND(IF(B34&lt;=$E$18,D34*((1+$G$17)^(P34-P33) -1),0),2)</f>
        <v>16.940000000000001</v>
      </c>
      <c r="W34" s="104"/>
      <c r="Y34" s="30">
        <f>E15</f>
        <v>44964</v>
      </c>
      <c r="Z34" s="30">
        <f>Y34</f>
        <v>44964</v>
      </c>
      <c r="AA34" s="30">
        <f>Z34</f>
        <v>44964</v>
      </c>
      <c r="AC34" s="21">
        <v>1</v>
      </c>
      <c r="AD34" s="30">
        <f>C34</f>
        <v>44964</v>
      </c>
      <c r="AE34" s="30">
        <f>C34</f>
        <v>44964</v>
      </c>
    </row>
    <row r="35" spans="2:31" x14ac:dyDescent="0.3">
      <c r="B35" s="42">
        <v>2</v>
      </c>
      <c r="C35" s="90">
        <f>IF($E$10="Año Base 360",AE35,AD35)</f>
        <v>44992</v>
      </c>
      <c r="D35" s="91">
        <f t="shared" si="4"/>
        <v>9978.9599999999991</v>
      </c>
      <c r="E35" s="92">
        <f t="shared" si="2"/>
        <v>9849.4</v>
      </c>
      <c r="F35" s="93">
        <f t="shared" ref="F35:F98" si="9">IFERROR(IF(B35&lt;$E$18,ROUND($E$19*O35,2)-G35-H35-I35,D35),0)</f>
        <v>129.56</v>
      </c>
      <c r="G35" s="93">
        <f t="shared" ref="G35:G98" si="10">IFERROR(IF($E$19*O35-I35-H35&lt;ROUND(R35,2),$E$19*O35-I35-H35,ROUND(R35,2)),0)</f>
        <v>235.66</v>
      </c>
      <c r="H35" s="93">
        <f t="shared" ref="H35:H98" si="11">IFERROR(ROUND(V35,2),0)</f>
        <v>11.83</v>
      </c>
      <c r="I35" s="93">
        <v>0</v>
      </c>
      <c r="J35" s="99">
        <f t="shared" ref="J35:J98" si="12">+IFERROR(G35+F35+H35,0)</f>
        <v>377.05</v>
      </c>
      <c r="K35" s="93">
        <f>+IF(B35&lt;=$E$18,$E$21,0)</f>
        <v>0</v>
      </c>
      <c r="L35" s="100">
        <f t="shared" ref="L35:L98" si="13">IFERROR(SUM(J35,K35),0)</f>
        <v>377.05</v>
      </c>
      <c r="N35" s="96">
        <f t="shared" si="6"/>
        <v>0.94217618999999997</v>
      </c>
      <c r="O35" s="102">
        <f t="shared" si="7"/>
        <v>1</v>
      </c>
      <c r="P35" s="98">
        <f t="shared" si="3"/>
        <v>68</v>
      </c>
      <c r="R35" s="93">
        <f>+IF(B35&lt;=$E$18,D35*((1+$E$16)^((C35-C34)/360)-1)+S34*((1+$E$16)^((C35-C34)/360)-0),0)</f>
        <v>235.66324208318255</v>
      </c>
      <c r="S35" s="103">
        <f t="shared" ref="S35:S98" si="14">ROUND(R35-G35,2)</f>
        <v>0</v>
      </c>
      <c r="U35" s="19">
        <v>30</v>
      </c>
      <c r="V35" s="104">
        <f t="shared" ref="V35:V81" si="15">ROUND(IF(B35&lt;=$E$18,D35*((1+$G$17)^(P35-P34) -1),0),2)</f>
        <v>11.83</v>
      </c>
      <c r="W35" s="104"/>
      <c r="Y35" s="30">
        <f t="shared" ref="Y35:Y81" si="16">IF($E$10="Mensual",C34+30,DATE(YEAR(C34),MONTH(C34)+1,DAY(C34)))</f>
        <v>44992</v>
      </c>
      <c r="Z35" s="30">
        <f t="shared" ref="Z35:Z81" si="17">IF($G$10=31,DATE(YEAR(Z34),MONTH(Z34)+2,0),Y35)</f>
        <v>44992</v>
      </c>
      <c r="AA35" s="30">
        <f t="shared" ref="AA35:AA81" si="18">IF(AND(MONTH(AA34)+1=2,OR($G$10=29,$G$10=30)),DATE(YEAR(AA34),MONTH(AA34)+2,0),DATE(YEAR(AA34),MONTH(AA34)+1,DAY($G$10)))</f>
        <v>44992</v>
      </c>
      <c r="AC35" s="21">
        <v>2</v>
      </c>
      <c r="AD35" s="30">
        <f t="shared" ref="AD35:AD81" si="19">IF(DAY(EOMONTH(C34,1))&lt;$G$10,DATE(YEAR(C34),MONTH(C34)+2,0),DATE(YEAR(C34),MONTH(C34)+1,DAY($G$10)))</f>
        <v>44992</v>
      </c>
      <c r="AE35" s="30">
        <f>AE34+30</f>
        <v>44994</v>
      </c>
    </row>
    <row r="36" spans="2:31" x14ac:dyDescent="0.3">
      <c r="B36" s="42">
        <v>3</v>
      </c>
      <c r="C36" s="90">
        <f t="shared" ref="C36:C99" si="20">IF($E$10="Año Base 360",AE36,AD36)</f>
        <v>45023</v>
      </c>
      <c r="D36" s="91">
        <f t="shared" si="4"/>
        <v>9849.4</v>
      </c>
      <c r="E36" s="92">
        <f t="shared" si="2"/>
        <v>9743.1299999999992</v>
      </c>
      <c r="F36" s="93">
        <f>IFERROR(IF(B36&lt;$E$18,ROUND($E$19*O36,2)-G36-H36-I36,D36),0)</f>
        <v>106.26999999999998</v>
      </c>
      <c r="G36" s="93">
        <f t="shared" si="10"/>
        <v>257.85000000000002</v>
      </c>
      <c r="H36" s="93">
        <f t="shared" si="11"/>
        <v>12.93</v>
      </c>
      <c r="I36" s="93">
        <v>0</v>
      </c>
      <c r="J36" s="99">
        <f t="shared" si="12"/>
        <v>377.05</v>
      </c>
      <c r="K36" s="93">
        <f t="shared" si="5"/>
        <v>0</v>
      </c>
      <c r="L36" s="100">
        <f t="shared" si="13"/>
        <v>377.05</v>
      </c>
      <c r="N36" s="96">
        <f t="shared" si="6"/>
        <v>0.91693683000000004</v>
      </c>
      <c r="O36" s="102">
        <f t="shared" si="7"/>
        <v>1</v>
      </c>
      <c r="P36" s="98">
        <f t="shared" si="3"/>
        <v>99</v>
      </c>
      <c r="R36" s="93">
        <f t="shared" ref="R36:R99" si="21">+IF(B36&lt;=$E$18,D36*((1+$E$16)^((C36-C35)/360)-1)+S35*((1+$E$16)^((C36-C35)/360)-0),0)</f>
        <v>257.84890245362169</v>
      </c>
      <c r="S36" s="103">
        <f t="shared" si="14"/>
        <v>0</v>
      </c>
      <c r="U36" s="19">
        <v>31</v>
      </c>
      <c r="V36" s="104">
        <f t="shared" si="15"/>
        <v>12.93</v>
      </c>
      <c r="W36" s="104"/>
      <c r="Y36" s="30">
        <f t="shared" si="16"/>
        <v>45023</v>
      </c>
      <c r="Z36" s="30">
        <f t="shared" si="17"/>
        <v>45023</v>
      </c>
      <c r="AA36" s="30">
        <f t="shared" si="18"/>
        <v>45023</v>
      </c>
      <c r="AC36" s="21">
        <v>3</v>
      </c>
      <c r="AD36" s="30">
        <f t="shared" si="19"/>
        <v>45023</v>
      </c>
      <c r="AE36" s="30">
        <f t="shared" ref="AE36:AE81" si="22">AE35+30</f>
        <v>45024</v>
      </c>
    </row>
    <row r="37" spans="2:31" x14ac:dyDescent="0.3">
      <c r="B37" s="42">
        <v>4</v>
      </c>
      <c r="C37" s="90">
        <f t="shared" si="20"/>
        <v>45053</v>
      </c>
      <c r="D37" s="91">
        <f t="shared" si="4"/>
        <v>9743.1299999999992</v>
      </c>
      <c r="E37" s="92">
        <f t="shared" si="2"/>
        <v>9625.1899999999987</v>
      </c>
      <c r="F37" s="93">
        <f t="shared" si="9"/>
        <v>117.94</v>
      </c>
      <c r="G37" s="93">
        <f t="shared" si="10"/>
        <v>246.74</v>
      </c>
      <c r="H37" s="93">
        <f t="shared" si="11"/>
        <v>12.37</v>
      </c>
      <c r="I37" s="93">
        <v>0</v>
      </c>
      <c r="J37" s="99">
        <f t="shared" si="12"/>
        <v>377.05</v>
      </c>
      <c r="K37" s="93">
        <f t="shared" si="5"/>
        <v>0</v>
      </c>
      <c r="L37" s="100">
        <f t="shared" si="13"/>
        <v>377.05</v>
      </c>
      <c r="N37" s="96">
        <f t="shared" si="6"/>
        <v>0.89315557999999995</v>
      </c>
      <c r="O37" s="102">
        <f t="shared" si="7"/>
        <v>1</v>
      </c>
      <c r="P37" s="98">
        <f t="shared" si="3"/>
        <v>129</v>
      </c>
      <c r="R37" s="93">
        <f t="shared" si="21"/>
        <v>246.73558189903108</v>
      </c>
      <c r="S37" s="103">
        <f t="shared" si="14"/>
        <v>0</v>
      </c>
      <c r="V37" s="104">
        <f t="shared" si="15"/>
        <v>12.37</v>
      </c>
      <c r="W37" s="104"/>
      <c r="Y37" s="30">
        <f t="shared" si="16"/>
        <v>45053</v>
      </c>
      <c r="Z37" s="30">
        <f t="shared" si="17"/>
        <v>45053</v>
      </c>
      <c r="AA37" s="30">
        <f t="shared" si="18"/>
        <v>45053</v>
      </c>
      <c r="AC37" s="21">
        <v>4</v>
      </c>
      <c r="AD37" s="30">
        <f t="shared" si="19"/>
        <v>45053</v>
      </c>
      <c r="AE37" s="30">
        <f t="shared" si="22"/>
        <v>45054</v>
      </c>
    </row>
    <row r="38" spans="2:31" x14ac:dyDescent="0.3">
      <c r="B38" s="42">
        <v>5</v>
      </c>
      <c r="C38" s="90">
        <f t="shared" si="20"/>
        <v>45084</v>
      </c>
      <c r="D38" s="91">
        <f t="shared" si="4"/>
        <v>9625.1899999999987</v>
      </c>
      <c r="E38" s="92">
        <f t="shared" si="2"/>
        <v>9512.7499999999982</v>
      </c>
      <c r="F38" s="93">
        <f t="shared" si="9"/>
        <v>112.44000000000003</v>
      </c>
      <c r="G38" s="93">
        <f t="shared" si="10"/>
        <v>251.98</v>
      </c>
      <c r="H38" s="93">
        <f t="shared" si="11"/>
        <v>12.63</v>
      </c>
      <c r="I38" s="93">
        <v>0</v>
      </c>
      <c r="J38" s="99">
        <f t="shared" si="12"/>
        <v>377.05</v>
      </c>
      <c r="K38" s="93">
        <f t="shared" si="5"/>
        <v>0</v>
      </c>
      <c r="L38" s="100">
        <f t="shared" si="13"/>
        <v>377.05</v>
      </c>
      <c r="N38" s="96">
        <f t="shared" si="6"/>
        <v>0.86922940000000004</v>
      </c>
      <c r="O38" s="102">
        <f t="shared" si="7"/>
        <v>1</v>
      </c>
      <c r="P38" s="98">
        <f t="shared" si="3"/>
        <v>160</v>
      </c>
      <c r="R38" s="93">
        <f t="shared" si="21"/>
        <v>251.97927563177194</v>
      </c>
      <c r="S38" s="103">
        <f t="shared" si="14"/>
        <v>0</v>
      </c>
      <c r="V38" s="104">
        <f t="shared" si="15"/>
        <v>12.63</v>
      </c>
      <c r="W38" s="104"/>
      <c r="Y38" s="30">
        <f t="shared" si="16"/>
        <v>45084</v>
      </c>
      <c r="Z38" s="30">
        <f t="shared" si="17"/>
        <v>45084</v>
      </c>
      <c r="AA38" s="30">
        <f t="shared" si="18"/>
        <v>45084</v>
      </c>
      <c r="AC38" s="21">
        <v>5</v>
      </c>
      <c r="AD38" s="30">
        <f t="shared" si="19"/>
        <v>45084</v>
      </c>
      <c r="AE38" s="30">
        <f t="shared" si="22"/>
        <v>45084</v>
      </c>
    </row>
    <row r="39" spans="2:31" x14ac:dyDescent="0.3">
      <c r="B39" s="42">
        <v>6</v>
      </c>
      <c r="C39" s="90">
        <f t="shared" si="20"/>
        <v>45114</v>
      </c>
      <c r="D39" s="91">
        <f t="shared" si="4"/>
        <v>9512.7499999999982</v>
      </c>
      <c r="E39" s="92">
        <f t="shared" si="2"/>
        <v>9388.6799999999985</v>
      </c>
      <c r="F39" s="93">
        <f t="shared" si="9"/>
        <v>124.07000000000001</v>
      </c>
      <c r="G39" s="93">
        <f t="shared" si="10"/>
        <v>240.9</v>
      </c>
      <c r="H39" s="93">
        <f t="shared" si="11"/>
        <v>12.08</v>
      </c>
      <c r="I39" s="93">
        <v>0</v>
      </c>
      <c r="J39" s="99">
        <f t="shared" si="12"/>
        <v>377.05</v>
      </c>
      <c r="K39" s="93">
        <f t="shared" si="5"/>
        <v>0</v>
      </c>
      <c r="L39" s="100">
        <f t="shared" si="13"/>
        <v>377.05</v>
      </c>
      <c r="N39" s="96">
        <f t="shared" si="6"/>
        <v>0.84668547999999999</v>
      </c>
      <c r="O39" s="102">
        <f t="shared" si="7"/>
        <v>1</v>
      </c>
      <c r="P39" s="98">
        <f t="shared" si="3"/>
        <v>190</v>
      </c>
      <c r="R39" s="93">
        <f t="shared" si="21"/>
        <v>240.90142559013455</v>
      </c>
      <c r="S39" s="103">
        <f t="shared" si="14"/>
        <v>0</v>
      </c>
      <c r="V39" s="104">
        <f t="shared" si="15"/>
        <v>12.08</v>
      </c>
      <c r="W39" s="104"/>
      <c r="Y39" s="30">
        <f t="shared" si="16"/>
        <v>45114</v>
      </c>
      <c r="Z39" s="30">
        <f t="shared" si="17"/>
        <v>45114</v>
      </c>
      <c r="AA39" s="30">
        <f t="shared" si="18"/>
        <v>45114</v>
      </c>
      <c r="AC39" s="21">
        <v>6</v>
      </c>
      <c r="AD39" s="30">
        <f t="shared" si="19"/>
        <v>45114</v>
      </c>
      <c r="AE39" s="30">
        <f t="shared" si="22"/>
        <v>45114</v>
      </c>
    </row>
    <row r="40" spans="2:31" x14ac:dyDescent="0.3">
      <c r="B40" s="42">
        <v>7</v>
      </c>
      <c r="C40" s="90">
        <f t="shared" si="20"/>
        <v>45145</v>
      </c>
      <c r="D40" s="91">
        <f t="shared" si="4"/>
        <v>9388.6799999999985</v>
      </c>
      <c r="E40" s="92">
        <f t="shared" si="2"/>
        <v>9269.739999999998</v>
      </c>
      <c r="F40" s="93">
        <f t="shared" si="9"/>
        <v>118.94000000000003</v>
      </c>
      <c r="G40" s="93">
        <f t="shared" si="10"/>
        <v>245.79</v>
      </c>
      <c r="H40" s="93">
        <f t="shared" si="11"/>
        <v>12.32</v>
      </c>
      <c r="I40" s="93">
        <v>0</v>
      </c>
      <c r="J40" s="99">
        <f t="shared" si="12"/>
        <v>377.05</v>
      </c>
      <c r="K40" s="93">
        <f t="shared" si="5"/>
        <v>0</v>
      </c>
      <c r="L40" s="100">
        <f t="shared" si="13"/>
        <v>377.05</v>
      </c>
      <c r="N40" s="96">
        <f t="shared" si="6"/>
        <v>0.82400415999999999</v>
      </c>
      <c r="O40" s="102">
        <f t="shared" si="7"/>
        <v>1</v>
      </c>
      <c r="P40" s="98">
        <f t="shared" si="3"/>
        <v>221</v>
      </c>
      <c r="R40" s="93">
        <f t="shared" si="21"/>
        <v>245.78764528684675</v>
      </c>
      <c r="S40" s="103">
        <f t="shared" si="14"/>
        <v>0</v>
      </c>
      <c r="V40" s="104">
        <f t="shared" si="15"/>
        <v>12.32</v>
      </c>
      <c r="W40" s="104"/>
      <c r="Y40" s="30">
        <f t="shared" si="16"/>
        <v>45145</v>
      </c>
      <c r="Z40" s="30">
        <f t="shared" si="17"/>
        <v>45145</v>
      </c>
      <c r="AA40" s="30">
        <f t="shared" si="18"/>
        <v>45145</v>
      </c>
      <c r="AC40" s="21">
        <v>7</v>
      </c>
      <c r="AD40" s="30">
        <f t="shared" si="19"/>
        <v>45145</v>
      </c>
      <c r="AE40" s="30">
        <f t="shared" si="22"/>
        <v>45144</v>
      </c>
    </row>
    <row r="41" spans="2:31" x14ac:dyDescent="0.3">
      <c r="B41" s="42">
        <v>8</v>
      </c>
      <c r="C41" s="90">
        <f t="shared" si="20"/>
        <v>45176</v>
      </c>
      <c r="D41" s="91">
        <f t="shared" si="4"/>
        <v>9269.739999999998</v>
      </c>
      <c r="E41" s="92">
        <f t="shared" si="2"/>
        <v>9147.5299999999988</v>
      </c>
      <c r="F41" s="93">
        <f t="shared" si="9"/>
        <v>122.21000000000002</v>
      </c>
      <c r="G41" s="93">
        <f t="shared" si="10"/>
        <v>242.67</v>
      </c>
      <c r="H41" s="93">
        <f t="shared" si="11"/>
        <v>12.17</v>
      </c>
      <c r="I41" s="93">
        <v>0</v>
      </c>
      <c r="J41" s="99">
        <f t="shared" si="12"/>
        <v>377.05</v>
      </c>
      <c r="K41" s="93">
        <f t="shared" si="5"/>
        <v>0</v>
      </c>
      <c r="L41" s="100">
        <f t="shared" si="13"/>
        <v>377.05</v>
      </c>
      <c r="N41" s="96">
        <f t="shared" si="6"/>
        <v>0.80193042999999997</v>
      </c>
      <c r="O41" s="102">
        <f t="shared" si="7"/>
        <v>1</v>
      </c>
      <c r="P41" s="98">
        <f t="shared" si="3"/>
        <v>252</v>
      </c>
      <c r="R41" s="93">
        <f t="shared" si="21"/>
        <v>242.67389739785514</v>
      </c>
      <c r="S41" s="103">
        <f t="shared" si="14"/>
        <v>0</v>
      </c>
      <c r="V41" s="104">
        <f t="shared" si="15"/>
        <v>12.17</v>
      </c>
      <c r="W41" s="104"/>
      <c r="Y41" s="30">
        <f t="shared" si="16"/>
        <v>45176</v>
      </c>
      <c r="Z41" s="30">
        <f t="shared" si="17"/>
        <v>45176</v>
      </c>
      <c r="AA41" s="30">
        <f t="shared" si="18"/>
        <v>45176</v>
      </c>
      <c r="AC41" s="21">
        <v>8</v>
      </c>
      <c r="AD41" s="30">
        <f t="shared" si="19"/>
        <v>45176</v>
      </c>
      <c r="AE41" s="30">
        <f t="shared" si="22"/>
        <v>45174</v>
      </c>
    </row>
    <row r="42" spans="2:31" x14ac:dyDescent="0.3">
      <c r="B42" s="42">
        <v>9</v>
      </c>
      <c r="C42" s="90">
        <f t="shared" si="20"/>
        <v>45206</v>
      </c>
      <c r="D42" s="91">
        <f t="shared" si="4"/>
        <v>9147.5299999999988</v>
      </c>
      <c r="E42" s="92">
        <f t="shared" si="2"/>
        <v>9013.7499999999982</v>
      </c>
      <c r="F42" s="93">
        <f t="shared" si="9"/>
        <v>133.78</v>
      </c>
      <c r="G42" s="93">
        <f t="shared" si="10"/>
        <v>231.65</v>
      </c>
      <c r="H42" s="93">
        <f t="shared" si="11"/>
        <v>11.62</v>
      </c>
      <c r="I42" s="93">
        <v>0</v>
      </c>
      <c r="J42" s="99">
        <f t="shared" si="12"/>
        <v>377.05</v>
      </c>
      <c r="K42" s="93">
        <f t="shared" si="5"/>
        <v>0</v>
      </c>
      <c r="L42" s="100">
        <f t="shared" si="13"/>
        <v>377.05</v>
      </c>
      <c r="N42" s="96">
        <f t="shared" si="6"/>
        <v>0.78113193999999997</v>
      </c>
      <c r="O42" s="102">
        <f t="shared" si="7"/>
        <v>1</v>
      </c>
      <c r="P42" s="98">
        <f t="shared" si="3"/>
        <v>282</v>
      </c>
      <c r="R42" s="93">
        <f t="shared" si="21"/>
        <v>231.65257340185789</v>
      </c>
      <c r="S42" s="103">
        <f t="shared" si="14"/>
        <v>0</v>
      </c>
      <c r="V42" s="104">
        <f t="shared" si="15"/>
        <v>11.62</v>
      </c>
      <c r="W42" s="104"/>
      <c r="Y42" s="30">
        <f t="shared" si="16"/>
        <v>45206</v>
      </c>
      <c r="Z42" s="30">
        <f t="shared" si="17"/>
        <v>45206</v>
      </c>
      <c r="AA42" s="30">
        <f t="shared" si="18"/>
        <v>45206</v>
      </c>
      <c r="AC42" s="21">
        <v>9</v>
      </c>
      <c r="AD42" s="30">
        <f t="shared" si="19"/>
        <v>45206</v>
      </c>
      <c r="AE42" s="30">
        <f t="shared" si="22"/>
        <v>45204</v>
      </c>
    </row>
    <row r="43" spans="2:31" x14ac:dyDescent="0.3">
      <c r="B43" s="42">
        <v>10</v>
      </c>
      <c r="C43" s="90">
        <f t="shared" si="20"/>
        <v>45237</v>
      </c>
      <c r="D43" s="91">
        <f t="shared" si="4"/>
        <v>9013.7499999999982</v>
      </c>
      <c r="E43" s="92">
        <f t="shared" si="2"/>
        <v>8884.4999999999982</v>
      </c>
      <c r="F43" s="93">
        <f t="shared" si="9"/>
        <v>129.25</v>
      </c>
      <c r="G43" s="93">
        <f t="shared" si="10"/>
        <v>235.97</v>
      </c>
      <c r="H43" s="93">
        <f t="shared" si="11"/>
        <v>11.83</v>
      </c>
      <c r="I43" s="93">
        <v>0</v>
      </c>
      <c r="J43" s="99">
        <f t="shared" si="12"/>
        <v>377.05</v>
      </c>
      <c r="K43" s="93">
        <f t="shared" si="5"/>
        <v>0</v>
      </c>
      <c r="L43" s="100">
        <f t="shared" si="13"/>
        <v>377.05</v>
      </c>
      <c r="N43" s="96">
        <f t="shared" si="6"/>
        <v>0.76020668999999996</v>
      </c>
      <c r="O43" s="102">
        <f t="shared" si="7"/>
        <v>1</v>
      </c>
      <c r="P43" s="98">
        <f t="shared" si="3"/>
        <v>313</v>
      </c>
      <c r="R43" s="93">
        <f t="shared" si="21"/>
        <v>235.97229724565273</v>
      </c>
      <c r="S43" s="103">
        <f t="shared" si="14"/>
        <v>0</v>
      </c>
      <c r="V43" s="104">
        <f t="shared" si="15"/>
        <v>11.83</v>
      </c>
      <c r="W43" s="104"/>
      <c r="Y43" s="30">
        <f t="shared" si="16"/>
        <v>45237</v>
      </c>
      <c r="Z43" s="30">
        <f t="shared" si="17"/>
        <v>45237</v>
      </c>
      <c r="AA43" s="30">
        <f t="shared" si="18"/>
        <v>45237</v>
      </c>
      <c r="AC43" s="21">
        <v>10</v>
      </c>
      <c r="AD43" s="30">
        <f t="shared" si="19"/>
        <v>45237</v>
      </c>
      <c r="AE43" s="30">
        <f t="shared" si="22"/>
        <v>45234</v>
      </c>
    </row>
    <row r="44" spans="2:31" x14ac:dyDescent="0.3">
      <c r="B44" s="42">
        <v>11</v>
      </c>
      <c r="C44" s="90">
        <f t="shared" si="20"/>
        <v>45267</v>
      </c>
      <c r="D44" s="91">
        <f t="shared" si="4"/>
        <v>8884.4999999999982</v>
      </c>
      <c r="E44" s="92">
        <f t="shared" si="2"/>
        <v>8743.7199999999975</v>
      </c>
      <c r="F44" s="93">
        <f t="shared" si="9"/>
        <v>140.78</v>
      </c>
      <c r="G44" s="93">
        <f t="shared" si="10"/>
        <v>224.99</v>
      </c>
      <c r="H44" s="93">
        <f t="shared" si="11"/>
        <v>11.28</v>
      </c>
      <c r="I44" s="93">
        <v>0</v>
      </c>
      <c r="J44" s="99">
        <f t="shared" si="12"/>
        <v>377.04999999999995</v>
      </c>
      <c r="K44" s="93">
        <f t="shared" si="5"/>
        <v>0</v>
      </c>
      <c r="L44" s="100">
        <f t="shared" si="13"/>
        <v>377.04999999999995</v>
      </c>
      <c r="N44" s="96">
        <f t="shared" si="6"/>
        <v>0.74049032999999997</v>
      </c>
      <c r="O44" s="102">
        <f t="shared" si="7"/>
        <v>1</v>
      </c>
      <c r="P44" s="98">
        <f t="shared" si="3"/>
        <v>343</v>
      </c>
      <c r="R44" s="93">
        <f t="shared" si="21"/>
        <v>224.99158662379966</v>
      </c>
      <c r="S44" s="103">
        <f t="shared" si="14"/>
        <v>0</v>
      </c>
      <c r="V44" s="104">
        <f t="shared" si="15"/>
        <v>11.28</v>
      </c>
      <c r="W44" s="104"/>
      <c r="Y44" s="30">
        <f t="shared" si="16"/>
        <v>45267</v>
      </c>
      <c r="Z44" s="30">
        <f t="shared" si="17"/>
        <v>45267</v>
      </c>
      <c r="AA44" s="30">
        <f t="shared" si="18"/>
        <v>45267</v>
      </c>
      <c r="AC44" s="21">
        <v>11</v>
      </c>
      <c r="AD44" s="30">
        <f t="shared" si="19"/>
        <v>45267</v>
      </c>
      <c r="AE44" s="30">
        <f t="shared" si="22"/>
        <v>45264</v>
      </c>
    </row>
    <row r="45" spans="2:31" x14ac:dyDescent="0.3">
      <c r="B45" s="42">
        <v>12</v>
      </c>
      <c r="C45" s="90">
        <f t="shared" si="20"/>
        <v>45298</v>
      </c>
      <c r="D45" s="91">
        <f t="shared" si="4"/>
        <v>8743.7199999999975</v>
      </c>
      <c r="E45" s="92">
        <f t="shared" si="2"/>
        <v>8607.0399999999972</v>
      </c>
      <c r="F45" s="93">
        <f t="shared" si="9"/>
        <v>136.68</v>
      </c>
      <c r="G45" s="93">
        <f t="shared" si="10"/>
        <v>228.9</v>
      </c>
      <c r="H45" s="93">
        <f t="shared" si="11"/>
        <v>11.47</v>
      </c>
      <c r="I45" s="93">
        <v>0</v>
      </c>
      <c r="J45" s="99">
        <f t="shared" si="12"/>
        <v>377.05000000000007</v>
      </c>
      <c r="K45" s="93">
        <f t="shared" si="5"/>
        <v>0</v>
      </c>
      <c r="L45" s="100">
        <f t="shared" si="13"/>
        <v>377.05000000000007</v>
      </c>
      <c r="N45" s="96">
        <f t="shared" si="6"/>
        <v>0.72065380000000001</v>
      </c>
      <c r="O45" s="102">
        <f t="shared" si="7"/>
        <v>1</v>
      </c>
      <c r="P45" s="98">
        <f t="shared" si="3"/>
        <v>374</v>
      </c>
      <c r="R45" s="93">
        <f t="shared" si="21"/>
        <v>228.90314185247632</v>
      </c>
      <c r="S45" s="103">
        <f t="shared" si="14"/>
        <v>0</v>
      </c>
      <c r="V45" s="104">
        <f t="shared" si="15"/>
        <v>11.47</v>
      </c>
      <c r="W45" s="104"/>
      <c r="Y45" s="30">
        <f t="shared" si="16"/>
        <v>45298</v>
      </c>
      <c r="Z45" s="30">
        <f t="shared" si="17"/>
        <v>45298</v>
      </c>
      <c r="AA45" s="30">
        <f t="shared" si="18"/>
        <v>45298</v>
      </c>
      <c r="AC45" s="21">
        <v>12</v>
      </c>
      <c r="AD45" s="30">
        <f t="shared" si="19"/>
        <v>45298</v>
      </c>
      <c r="AE45" s="30">
        <f t="shared" si="22"/>
        <v>45294</v>
      </c>
    </row>
    <row r="46" spans="2:31" x14ac:dyDescent="0.3">
      <c r="B46" s="42">
        <v>13</v>
      </c>
      <c r="C46" s="90">
        <f t="shared" si="20"/>
        <v>45329</v>
      </c>
      <c r="D46" s="91">
        <f t="shared" si="4"/>
        <v>8607.0399999999972</v>
      </c>
      <c r="E46" s="92">
        <f t="shared" si="2"/>
        <v>8466.6099999999969</v>
      </c>
      <c r="F46" s="93">
        <f t="shared" si="9"/>
        <v>140.43</v>
      </c>
      <c r="G46" s="93">
        <f t="shared" si="10"/>
        <v>225.32</v>
      </c>
      <c r="H46" s="93">
        <f t="shared" si="11"/>
        <v>11.3</v>
      </c>
      <c r="I46" s="93">
        <v>0</v>
      </c>
      <c r="J46" s="99">
        <f t="shared" si="12"/>
        <v>377.05</v>
      </c>
      <c r="K46" s="93">
        <f t="shared" si="5"/>
        <v>0</v>
      </c>
      <c r="L46" s="100">
        <f t="shared" si="13"/>
        <v>377.05</v>
      </c>
      <c r="N46" s="96">
        <f t="shared" si="6"/>
        <v>0.70134865999999996</v>
      </c>
      <c r="O46" s="102">
        <f t="shared" si="7"/>
        <v>1</v>
      </c>
      <c r="P46" s="98">
        <f t="shared" si="3"/>
        <v>405</v>
      </c>
      <c r="R46" s="93">
        <f t="shared" si="21"/>
        <v>225.32497587410597</v>
      </c>
      <c r="S46" s="103">
        <f t="shared" si="14"/>
        <v>0</v>
      </c>
      <c r="V46" s="104">
        <f t="shared" si="15"/>
        <v>11.3</v>
      </c>
      <c r="W46" s="104"/>
      <c r="Y46" s="30">
        <f t="shared" si="16"/>
        <v>45329</v>
      </c>
      <c r="Z46" s="30">
        <f t="shared" si="17"/>
        <v>45329</v>
      </c>
      <c r="AA46" s="30">
        <f t="shared" si="18"/>
        <v>45329</v>
      </c>
      <c r="AC46" s="21">
        <v>13</v>
      </c>
      <c r="AD46" s="30">
        <f t="shared" si="19"/>
        <v>45329</v>
      </c>
      <c r="AE46" s="30">
        <f t="shared" si="22"/>
        <v>45324</v>
      </c>
    </row>
    <row r="47" spans="2:31" x14ac:dyDescent="0.3">
      <c r="B47" s="42">
        <v>14</v>
      </c>
      <c r="C47" s="90">
        <f t="shared" si="20"/>
        <v>45358</v>
      </c>
      <c r="D47" s="91">
        <f t="shared" si="4"/>
        <v>8466.6099999999969</v>
      </c>
      <c r="E47" s="92">
        <f t="shared" si="2"/>
        <v>8307.1299999999974</v>
      </c>
      <c r="F47" s="93">
        <f t="shared" si="9"/>
        <v>159.48000000000002</v>
      </c>
      <c r="G47" s="93">
        <f t="shared" si="10"/>
        <v>207.18</v>
      </c>
      <c r="H47" s="93">
        <f t="shared" si="11"/>
        <v>10.39</v>
      </c>
      <c r="I47" s="93">
        <v>0</v>
      </c>
      <c r="J47" s="99">
        <f t="shared" si="12"/>
        <v>377.05</v>
      </c>
      <c r="K47" s="93">
        <f t="shared" si="5"/>
        <v>0</v>
      </c>
      <c r="L47" s="100">
        <f t="shared" si="13"/>
        <v>377.05</v>
      </c>
      <c r="N47" s="96">
        <f t="shared" si="6"/>
        <v>0.68375746999999998</v>
      </c>
      <c r="O47" s="102">
        <f t="shared" si="7"/>
        <v>1</v>
      </c>
      <c r="P47" s="98">
        <f t="shared" si="3"/>
        <v>434</v>
      </c>
      <c r="R47" s="93">
        <f t="shared" si="21"/>
        <v>207.17522728057745</v>
      </c>
      <c r="S47" s="103">
        <f t="shared" si="14"/>
        <v>0</v>
      </c>
      <c r="V47" s="104">
        <f t="shared" si="15"/>
        <v>10.39</v>
      </c>
      <c r="W47" s="104"/>
      <c r="Y47" s="30">
        <f t="shared" si="16"/>
        <v>45358</v>
      </c>
      <c r="Z47" s="30">
        <f t="shared" si="17"/>
        <v>45358</v>
      </c>
      <c r="AA47" s="30">
        <f t="shared" si="18"/>
        <v>45358</v>
      </c>
      <c r="AC47" s="21">
        <v>14</v>
      </c>
      <c r="AD47" s="30">
        <f t="shared" si="19"/>
        <v>45358</v>
      </c>
      <c r="AE47" s="30">
        <f t="shared" si="22"/>
        <v>45354</v>
      </c>
    </row>
    <row r="48" spans="2:31" x14ac:dyDescent="0.3">
      <c r="B48" s="42">
        <v>15</v>
      </c>
      <c r="C48" s="90">
        <f t="shared" si="20"/>
        <v>45389</v>
      </c>
      <c r="D48" s="91">
        <f t="shared" si="4"/>
        <v>8307.1299999999974</v>
      </c>
      <c r="E48" s="92">
        <f t="shared" si="2"/>
        <v>8158.4499999999971</v>
      </c>
      <c r="F48" s="93">
        <f t="shared" si="9"/>
        <v>148.68</v>
      </c>
      <c r="G48" s="93">
        <f t="shared" si="10"/>
        <v>217.47</v>
      </c>
      <c r="H48" s="93">
        <f t="shared" si="11"/>
        <v>10.9</v>
      </c>
      <c r="I48" s="93">
        <v>0</v>
      </c>
      <c r="J48" s="99">
        <f t="shared" si="12"/>
        <v>377.04999999999995</v>
      </c>
      <c r="K48" s="93">
        <f t="shared" si="5"/>
        <v>0</v>
      </c>
      <c r="L48" s="100">
        <f t="shared" si="13"/>
        <v>377.04999999999995</v>
      </c>
      <c r="N48" s="96">
        <f t="shared" si="6"/>
        <v>0.66544073000000004</v>
      </c>
      <c r="O48" s="102">
        <f t="shared" si="7"/>
        <v>1</v>
      </c>
      <c r="P48" s="98">
        <f t="shared" si="3"/>
        <v>465</v>
      </c>
      <c r="R48" s="93">
        <f t="shared" si="21"/>
        <v>217.47358753219015</v>
      </c>
      <c r="S48" s="103">
        <f t="shared" si="14"/>
        <v>0</v>
      </c>
      <c r="V48" s="104">
        <f t="shared" si="15"/>
        <v>10.9</v>
      </c>
      <c r="W48" s="104"/>
      <c r="Y48" s="30">
        <f t="shared" si="16"/>
        <v>45389</v>
      </c>
      <c r="Z48" s="30">
        <f t="shared" si="17"/>
        <v>45389</v>
      </c>
      <c r="AA48" s="30">
        <f t="shared" si="18"/>
        <v>45389</v>
      </c>
      <c r="AC48" s="21">
        <v>15</v>
      </c>
      <c r="AD48" s="30">
        <f t="shared" si="19"/>
        <v>45389</v>
      </c>
      <c r="AE48" s="30">
        <f t="shared" si="22"/>
        <v>45384</v>
      </c>
    </row>
    <row r="49" spans="2:31" x14ac:dyDescent="0.3">
      <c r="B49" s="42">
        <v>16</v>
      </c>
      <c r="C49" s="90">
        <f t="shared" si="20"/>
        <v>45419</v>
      </c>
      <c r="D49" s="91">
        <f t="shared" si="4"/>
        <v>8158.4499999999971</v>
      </c>
      <c r="E49" s="92">
        <f t="shared" si="2"/>
        <v>7998.3699999999972</v>
      </c>
      <c r="F49" s="93">
        <f t="shared" si="9"/>
        <v>160.07999999999998</v>
      </c>
      <c r="G49" s="93">
        <f t="shared" si="10"/>
        <v>206.61</v>
      </c>
      <c r="H49" s="93">
        <f t="shared" si="11"/>
        <v>10.36</v>
      </c>
      <c r="I49" s="93">
        <v>0</v>
      </c>
      <c r="J49" s="99">
        <f t="shared" si="12"/>
        <v>377.05</v>
      </c>
      <c r="K49" s="93">
        <f t="shared" si="5"/>
        <v>0</v>
      </c>
      <c r="L49" s="100">
        <f t="shared" si="13"/>
        <v>377.05</v>
      </c>
      <c r="N49" s="96">
        <f t="shared" si="6"/>
        <v>0.64818217</v>
      </c>
      <c r="O49" s="102">
        <f t="shared" si="7"/>
        <v>1</v>
      </c>
      <c r="P49" s="98">
        <f t="shared" si="3"/>
        <v>495</v>
      </c>
      <c r="R49" s="93">
        <f t="shared" si="21"/>
        <v>206.60505485856697</v>
      </c>
      <c r="S49" s="103">
        <f t="shared" si="14"/>
        <v>0</v>
      </c>
      <c r="V49" s="104">
        <f t="shared" si="15"/>
        <v>10.36</v>
      </c>
      <c r="W49" s="104"/>
      <c r="Y49" s="30">
        <f t="shared" si="16"/>
        <v>45419</v>
      </c>
      <c r="Z49" s="30">
        <f t="shared" si="17"/>
        <v>45419</v>
      </c>
      <c r="AA49" s="30">
        <f t="shared" si="18"/>
        <v>45419</v>
      </c>
      <c r="AC49" s="21">
        <v>16</v>
      </c>
      <c r="AD49" s="30">
        <f t="shared" si="19"/>
        <v>45419</v>
      </c>
      <c r="AE49" s="30">
        <f t="shared" si="22"/>
        <v>45414</v>
      </c>
    </row>
    <row r="50" spans="2:31" x14ac:dyDescent="0.3">
      <c r="B50" s="42">
        <v>17</v>
      </c>
      <c r="C50" s="90">
        <f t="shared" si="20"/>
        <v>45450</v>
      </c>
      <c r="D50" s="91">
        <f t="shared" si="4"/>
        <v>7998.3699999999972</v>
      </c>
      <c r="E50" s="92">
        <f t="shared" si="2"/>
        <v>7841.2099999999973</v>
      </c>
      <c r="F50" s="93">
        <f t="shared" si="9"/>
        <v>157.16000000000003</v>
      </c>
      <c r="G50" s="93">
        <f t="shared" si="10"/>
        <v>209.39</v>
      </c>
      <c r="H50" s="93">
        <f t="shared" si="11"/>
        <v>10.5</v>
      </c>
      <c r="I50" s="93">
        <v>0</v>
      </c>
      <c r="J50" s="99">
        <f t="shared" si="12"/>
        <v>377.05</v>
      </c>
      <c r="K50" s="93">
        <f t="shared" si="5"/>
        <v>0</v>
      </c>
      <c r="L50" s="100">
        <f t="shared" si="13"/>
        <v>377.05</v>
      </c>
      <c r="N50" s="96">
        <f t="shared" si="6"/>
        <v>0.63081843000000004</v>
      </c>
      <c r="O50" s="102">
        <f t="shared" si="7"/>
        <v>1</v>
      </c>
      <c r="P50" s="98">
        <f t="shared" si="3"/>
        <v>526</v>
      </c>
      <c r="R50" s="93">
        <f t="shared" si="21"/>
        <v>209.39051372854928</v>
      </c>
      <c r="S50" s="103">
        <f t="shared" si="14"/>
        <v>0</v>
      </c>
      <c r="V50" s="104">
        <f t="shared" si="15"/>
        <v>10.5</v>
      </c>
      <c r="W50" s="104"/>
      <c r="Y50" s="30">
        <f t="shared" si="16"/>
        <v>45450</v>
      </c>
      <c r="Z50" s="30">
        <f t="shared" si="17"/>
        <v>45450</v>
      </c>
      <c r="AA50" s="30">
        <f t="shared" si="18"/>
        <v>45450</v>
      </c>
      <c r="AC50" s="21">
        <v>17</v>
      </c>
      <c r="AD50" s="30">
        <f t="shared" si="19"/>
        <v>45450</v>
      </c>
      <c r="AE50" s="30">
        <f t="shared" si="22"/>
        <v>45444</v>
      </c>
    </row>
    <row r="51" spans="2:31" x14ac:dyDescent="0.3">
      <c r="B51" s="42">
        <v>18</v>
      </c>
      <c r="C51" s="90">
        <f t="shared" si="20"/>
        <v>45480</v>
      </c>
      <c r="D51" s="91">
        <f t="shared" si="4"/>
        <v>7841.2099999999973</v>
      </c>
      <c r="E51" s="92">
        <f t="shared" si="2"/>
        <v>7672.6899999999969</v>
      </c>
      <c r="F51" s="93">
        <f t="shared" si="9"/>
        <v>168.52</v>
      </c>
      <c r="G51" s="93">
        <f t="shared" si="10"/>
        <v>198.57</v>
      </c>
      <c r="H51" s="93">
        <f t="shared" si="11"/>
        <v>9.9600000000000009</v>
      </c>
      <c r="I51" s="93">
        <v>0</v>
      </c>
      <c r="J51" s="99">
        <f t="shared" si="12"/>
        <v>377.05</v>
      </c>
      <c r="K51" s="93">
        <f t="shared" si="5"/>
        <v>0</v>
      </c>
      <c r="L51" s="100">
        <f t="shared" si="13"/>
        <v>377.05</v>
      </c>
      <c r="N51" s="96">
        <f t="shared" si="6"/>
        <v>0.61445780999999999</v>
      </c>
      <c r="O51" s="102">
        <f t="shared" si="7"/>
        <v>1</v>
      </c>
      <c r="P51" s="98">
        <f t="shared" si="3"/>
        <v>556</v>
      </c>
      <c r="R51" s="93">
        <f t="shared" si="21"/>
        <v>198.57125093707063</v>
      </c>
      <c r="S51" s="103">
        <f t="shared" si="14"/>
        <v>0</v>
      </c>
      <c r="V51" s="104">
        <f t="shared" si="15"/>
        <v>9.9600000000000009</v>
      </c>
      <c r="W51" s="104"/>
      <c r="Y51" s="30">
        <f t="shared" si="16"/>
        <v>45480</v>
      </c>
      <c r="Z51" s="30">
        <f t="shared" si="17"/>
        <v>45480</v>
      </c>
      <c r="AA51" s="30">
        <f t="shared" si="18"/>
        <v>45480</v>
      </c>
      <c r="AC51" s="21">
        <v>18</v>
      </c>
      <c r="AD51" s="30">
        <f t="shared" si="19"/>
        <v>45480</v>
      </c>
      <c r="AE51" s="30">
        <f t="shared" si="22"/>
        <v>45474</v>
      </c>
    </row>
    <row r="52" spans="2:31" x14ac:dyDescent="0.3">
      <c r="B52" s="42">
        <v>19</v>
      </c>
      <c r="C52" s="90">
        <f t="shared" si="20"/>
        <v>45511</v>
      </c>
      <c r="D52" s="91">
        <f t="shared" si="4"/>
        <v>7672.6899999999969</v>
      </c>
      <c r="E52" s="92">
        <f t="shared" si="2"/>
        <v>7506.569999999997</v>
      </c>
      <c r="F52" s="93">
        <f t="shared" si="9"/>
        <v>166.12</v>
      </c>
      <c r="G52" s="93">
        <f t="shared" si="10"/>
        <v>200.86</v>
      </c>
      <c r="H52" s="93">
        <f t="shared" si="11"/>
        <v>10.07</v>
      </c>
      <c r="I52" s="93">
        <v>0</v>
      </c>
      <c r="J52" s="99">
        <f t="shared" si="12"/>
        <v>377.05</v>
      </c>
      <c r="K52" s="93">
        <f t="shared" si="5"/>
        <v>0</v>
      </c>
      <c r="L52" s="100">
        <f t="shared" si="13"/>
        <v>377.05</v>
      </c>
      <c r="N52" s="96">
        <f t="shared" si="6"/>
        <v>0.59799749000000002</v>
      </c>
      <c r="O52" s="102">
        <f t="shared" si="7"/>
        <v>1</v>
      </c>
      <c r="P52" s="98">
        <f t="shared" si="3"/>
        <v>587</v>
      </c>
      <c r="R52" s="93">
        <f t="shared" si="21"/>
        <v>200.86448873706803</v>
      </c>
      <c r="S52" s="103">
        <f t="shared" si="14"/>
        <v>0</v>
      </c>
      <c r="V52" s="104">
        <f t="shared" si="15"/>
        <v>10.07</v>
      </c>
      <c r="W52" s="104"/>
      <c r="Y52" s="30">
        <f t="shared" si="16"/>
        <v>45511</v>
      </c>
      <c r="Z52" s="30">
        <f t="shared" si="17"/>
        <v>45511</v>
      </c>
      <c r="AA52" s="30">
        <f t="shared" si="18"/>
        <v>45511</v>
      </c>
      <c r="AC52" s="21">
        <v>19</v>
      </c>
      <c r="AD52" s="30">
        <f t="shared" si="19"/>
        <v>45511</v>
      </c>
      <c r="AE52" s="30">
        <f t="shared" si="22"/>
        <v>45504</v>
      </c>
    </row>
    <row r="53" spans="2:31" x14ac:dyDescent="0.3">
      <c r="B53" s="42">
        <v>20</v>
      </c>
      <c r="C53" s="90">
        <f t="shared" si="20"/>
        <v>45542</v>
      </c>
      <c r="D53" s="91">
        <f t="shared" si="4"/>
        <v>7506.569999999997</v>
      </c>
      <c r="E53" s="92">
        <f t="shared" si="2"/>
        <v>7335.8899999999967</v>
      </c>
      <c r="F53" s="93">
        <f t="shared" si="9"/>
        <v>170.68</v>
      </c>
      <c r="G53" s="93">
        <f t="shared" si="10"/>
        <v>196.52</v>
      </c>
      <c r="H53" s="93">
        <f t="shared" si="11"/>
        <v>9.85</v>
      </c>
      <c r="I53" s="93">
        <v>0</v>
      </c>
      <c r="J53" s="99">
        <f t="shared" si="12"/>
        <v>377.05000000000007</v>
      </c>
      <c r="K53" s="93">
        <f t="shared" si="5"/>
        <v>0</v>
      </c>
      <c r="L53" s="100">
        <f t="shared" si="13"/>
        <v>377.05000000000007</v>
      </c>
      <c r="N53" s="96">
        <f t="shared" si="6"/>
        <v>0.58197812000000004</v>
      </c>
      <c r="O53" s="102">
        <f t="shared" si="7"/>
        <v>1</v>
      </c>
      <c r="P53" s="98">
        <f t="shared" si="3"/>
        <v>618</v>
      </c>
      <c r="R53" s="93">
        <f t="shared" si="21"/>
        <v>196.51560863517392</v>
      </c>
      <c r="S53" s="103">
        <f t="shared" si="14"/>
        <v>0</v>
      </c>
      <c r="V53" s="104">
        <f t="shared" si="15"/>
        <v>9.85</v>
      </c>
      <c r="W53" s="104"/>
      <c r="Y53" s="30">
        <f t="shared" si="16"/>
        <v>45542</v>
      </c>
      <c r="Z53" s="30">
        <f t="shared" si="17"/>
        <v>45542</v>
      </c>
      <c r="AA53" s="30">
        <f t="shared" si="18"/>
        <v>45542</v>
      </c>
      <c r="AC53" s="21">
        <v>20</v>
      </c>
      <c r="AD53" s="30">
        <f t="shared" si="19"/>
        <v>45542</v>
      </c>
      <c r="AE53" s="30">
        <f t="shared" si="22"/>
        <v>45534</v>
      </c>
    </row>
    <row r="54" spans="2:31" x14ac:dyDescent="0.3">
      <c r="B54" s="42">
        <v>21</v>
      </c>
      <c r="C54" s="90">
        <f t="shared" si="20"/>
        <v>45572</v>
      </c>
      <c r="D54" s="91">
        <f t="shared" si="4"/>
        <v>7335.8899999999967</v>
      </c>
      <c r="E54" s="92">
        <f t="shared" si="2"/>
        <v>7153.9299999999967</v>
      </c>
      <c r="F54" s="93">
        <f t="shared" si="9"/>
        <v>181.96</v>
      </c>
      <c r="G54" s="93">
        <f t="shared" si="10"/>
        <v>185.77</v>
      </c>
      <c r="H54" s="93">
        <f t="shared" si="11"/>
        <v>9.32</v>
      </c>
      <c r="I54" s="93">
        <v>0</v>
      </c>
      <c r="J54" s="99">
        <f t="shared" si="12"/>
        <v>377.05</v>
      </c>
      <c r="K54" s="93">
        <f t="shared" si="5"/>
        <v>0</v>
      </c>
      <c r="L54" s="100">
        <f t="shared" si="13"/>
        <v>377.05</v>
      </c>
      <c r="N54" s="96">
        <f t="shared" si="6"/>
        <v>0.56688421</v>
      </c>
      <c r="O54" s="102">
        <f t="shared" si="7"/>
        <v>1</v>
      </c>
      <c r="P54" s="98">
        <f t="shared" si="3"/>
        <v>648</v>
      </c>
      <c r="R54" s="93">
        <f t="shared" si="21"/>
        <v>185.77449832828694</v>
      </c>
      <c r="S54" s="103">
        <f t="shared" si="14"/>
        <v>0</v>
      </c>
      <c r="V54" s="104">
        <f t="shared" si="15"/>
        <v>9.32</v>
      </c>
      <c r="W54" s="104"/>
      <c r="Y54" s="30">
        <f t="shared" si="16"/>
        <v>45572</v>
      </c>
      <c r="Z54" s="30">
        <f t="shared" si="17"/>
        <v>45572</v>
      </c>
      <c r="AA54" s="30">
        <f t="shared" si="18"/>
        <v>45572</v>
      </c>
      <c r="AC54" s="21">
        <v>21</v>
      </c>
      <c r="AD54" s="30">
        <f t="shared" si="19"/>
        <v>45572</v>
      </c>
      <c r="AE54" s="30">
        <f t="shared" si="22"/>
        <v>45564</v>
      </c>
    </row>
    <row r="55" spans="2:31" x14ac:dyDescent="0.3">
      <c r="B55" s="42">
        <v>22</v>
      </c>
      <c r="C55" s="90">
        <f t="shared" si="20"/>
        <v>45603</v>
      </c>
      <c r="D55" s="91">
        <f t="shared" si="4"/>
        <v>7153.9299999999967</v>
      </c>
      <c r="E55" s="92">
        <f t="shared" si="2"/>
        <v>6973.5499999999965</v>
      </c>
      <c r="F55" s="93">
        <f t="shared" si="9"/>
        <v>180.38</v>
      </c>
      <c r="G55" s="93">
        <f t="shared" si="10"/>
        <v>187.28</v>
      </c>
      <c r="H55" s="93">
        <f t="shared" si="11"/>
        <v>9.39</v>
      </c>
      <c r="I55" s="93">
        <v>0</v>
      </c>
      <c r="J55" s="99">
        <f t="shared" si="12"/>
        <v>377.04999999999995</v>
      </c>
      <c r="K55" s="93">
        <f t="shared" si="5"/>
        <v>0</v>
      </c>
      <c r="L55" s="100">
        <f t="shared" si="13"/>
        <v>377.04999999999995</v>
      </c>
      <c r="N55" s="96">
        <f t="shared" si="6"/>
        <v>0.55169829999999997</v>
      </c>
      <c r="O55" s="102">
        <f t="shared" si="7"/>
        <v>1</v>
      </c>
      <c r="P55" s="98">
        <f t="shared" si="3"/>
        <v>679</v>
      </c>
      <c r="R55" s="93">
        <f t="shared" si="21"/>
        <v>187.28379380774837</v>
      </c>
      <c r="S55" s="103">
        <f t="shared" si="14"/>
        <v>0</v>
      </c>
      <c r="V55" s="104">
        <f t="shared" si="15"/>
        <v>9.39</v>
      </c>
      <c r="W55" s="104"/>
      <c r="Y55" s="30">
        <f t="shared" si="16"/>
        <v>45603</v>
      </c>
      <c r="Z55" s="30">
        <f t="shared" si="17"/>
        <v>45603</v>
      </c>
      <c r="AA55" s="30">
        <f t="shared" si="18"/>
        <v>45603</v>
      </c>
      <c r="AC55" s="21">
        <v>22</v>
      </c>
      <c r="AD55" s="30">
        <f t="shared" si="19"/>
        <v>45603</v>
      </c>
      <c r="AE55" s="30">
        <f t="shared" si="22"/>
        <v>45594</v>
      </c>
    </row>
    <row r="56" spans="2:31" x14ac:dyDescent="0.3">
      <c r="B56" s="42">
        <v>23</v>
      </c>
      <c r="C56" s="90">
        <f t="shared" si="20"/>
        <v>45633</v>
      </c>
      <c r="D56" s="91">
        <f t="shared" si="4"/>
        <v>6973.5499999999965</v>
      </c>
      <c r="E56" s="92">
        <f t="shared" si="2"/>
        <v>6781.9599999999964</v>
      </c>
      <c r="F56" s="93">
        <f t="shared" si="9"/>
        <v>191.59000000000003</v>
      </c>
      <c r="G56" s="93">
        <f t="shared" si="10"/>
        <v>176.6</v>
      </c>
      <c r="H56" s="93">
        <f t="shared" si="11"/>
        <v>8.86</v>
      </c>
      <c r="I56" s="93">
        <v>0</v>
      </c>
      <c r="J56" s="99">
        <f t="shared" si="12"/>
        <v>377.05000000000007</v>
      </c>
      <c r="K56" s="93">
        <f t="shared" si="5"/>
        <v>0</v>
      </c>
      <c r="L56" s="100">
        <f t="shared" si="13"/>
        <v>377.05000000000007</v>
      </c>
      <c r="N56" s="96">
        <f t="shared" si="6"/>
        <v>0.53738971000000002</v>
      </c>
      <c r="O56" s="102">
        <f t="shared" si="7"/>
        <v>1</v>
      </c>
      <c r="P56" s="98">
        <f t="shared" si="3"/>
        <v>709</v>
      </c>
      <c r="R56" s="93">
        <f t="shared" si="21"/>
        <v>176.59857942488577</v>
      </c>
      <c r="S56" s="103">
        <f t="shared" si="14"/>
        <v>0</v>
      </c>
      <c r="V56" s="104">
        <f t="shared" si="15"/>
        <v>8.86</v>
      </c>
      <c r="W56" s="104"/>
      <c r="Y56" s="30">
        <f t="shared" si="16"/>
        <v>45633</v>
      </c>
      <c r="Z56" s="30">
        <f t="shared" si="17"/>
        <v>45633</v>
      </c>
      <c r="AA56" s="30">
        <f t="shared" si="18"/>
        <v>45633</v>
      </c>
      <c r="AC56" s="21">
        <v>23</v>
      </c>
      <c r="AD56" s="30">
        <f t="shared" si="19"/>
        <v>45633</v>
      </c>
      <c r="AE56" s="30">
        <f t="shared" si="22"/>
        <v>45624</v>
      </c>
    </row>
    <row r="57" spans="2:31" x14ac:dyDescent="0.3">
      <c r="B57" s="42">
        <v>24</v>
      </c>
      <c r="C57" s="90">
        <f t="shared" si="20"/>
        <v>45664</v>
      </c>
      <c r="D57" s="91">
        <f t="shared" si="4"/>
        <v>6781.9599999999964</v>
      </c>
      <c r="E57" s="92">
        <f t="shared" si="2"/>
        <v>6591.359999999996</v>
      </c>
      <c r="F57" s="93">
        <f t="shared" si="9"/>
        <v>190.6</v>
      </c>
      <c r="G57" s="93">
        <f t="shared" si="10"/>
        <v>177.55</v>
      </c>
      <c r="H57" s="93">
        <f t="shared" si="11"/>
        <v>8.9</v>
      </c>
      <c r="I57" s="93">
        <v>0</v>
      </c>
      <c r="J57" s="99">
        <f t="shared" si="12"/>
        <v>377.04999999999995</v>
      </c>
      <c r="K57" s="93">
        <f t="shared" si="5"/>
        <v>0</v>
      </c>
      <c r="L57" s="100">
        <f t="shared" si="13"/>
        <v>377.04999999999995</v>
      </c>
      <c r="N57" s="96">
        <f t="shared" si="6"/>
        <v>0.52299392</v>
      </c>
      <c r="O57" s="102">
        <f t="shared" si="7"/>
        <v>1</v>
      </c>
      <c r="P57" s="98">
        <f t="shared" si="3"/>
        <v>740</v>
      </c>
      <c r="R57" s="93">
        <f t="shared" si="21"/>
        <v>177.54593604527821</v>
      </c>
      <c r="S57" s="103">
        <f t="shared" si="14"/>
        <v>0</v>
      </c>
      <c r="V57" s="104">
        <f t="shared" si="15"/>
        <v>8.9</v>
      </c>
      <c r="W57" s="104"/>
      <c r="Y57" s="30">
        <f t="shared" si="16"/>
        <v>45664</v>
      </c>
      <c r="Z57" s="30">
        <f t="shared" si="17"/>
        <v>45664</v>
      </c>
      <c r="AA57" s="30">
        <f t="shared" si="18"/>
        <v>45664</v>
      </c>
      <c r="AC57" s="21">
        <v>24</v>
      </c>
      <c r="AD57" s="30">
        <f t="shared" si="19"/>
        <v>45664</v>
      </c>
      <c r="AE57" s="30">
        <f t="shared" si="22"/>
        <v>45654</v>
      </c>
    </row>
    <row r="58" spans="2:31" x14ac:dyDescent="0.3">
      <c r="B58" s="42">
        <v>25</v>
      </c>
      <c r="C58" s="90">
        <f t="shared" si="20"/>
        <v>45695</v>
      </c>
      <c r="D58" s="91">
        <f t="shared" si="4"/>
        <v>6591.359999999996</v>
      </c>
      <c r="E58" s="92">
        <f t="shared" si="2"/>
        <v>6395.5199999999959</v>
      </c>
      <c r="F58" s="93">
        <f t="shared" si="9"/>
        <v>195.84</v>
      </c>
      <c r="G58" s="93">
        <f t="shared" si="10"/>
        <v>172.56</v>
      </c>
      <c r="H58" s="93">
        <f t="shared" si="11"/>
        <v>8.65</v>
      </c>
      <c r="I58" s="93">
        <v>0</v>
      </c>
      <c r="J58" s="99">
        <f t="shared" si="12"/>
        <v>377.04999999999995</v>
      </c>
      <c r="K58" s="93">
        <f t="shared" si="5"/>
        <v>0</v>
      </c>
      <c r="L58" s="100">
        <f t="shared" si="13"/>
        <v>377.04999999999995</v>
      </c>
      <c r="N58" s="96">
        <f t="shared" si="6"/>
        <v>0.50898376999999995</v>
      </c>
      <c r="O58" s="102">
        <f t="shared" si="7"/>
        <v>1</v>
      </c>
      <c r="P58" s="98">
        <f t="shared" si="3"/>
        <v>771</v>
      </c>
      <c r="R58" s="93">
        <f t="shared" si="21"/>
        <v>172.55619039501926</v>
      </c>
      <c r="S58" s="103">
        <f t="shared" si="14"/>
        <v>0</v>
      </c>
      <c r="V58" s="104">
        <f t="shared" si="15"/>
        <v>8.65</v>
      </c>
      <c r="W58" s="104"/>
      <c r="Y58" s="30">
        <f t="shared" si="16"/>
        <v>45695</v>
      </c>
      <c r="Z58" s="30">
        <f t="shared" si="17"/>
        <v>45695</v>
      </c>
      <c r="AA58" s="30">
        <f t="shared" si="18"/>
        <v>45695</v>
      </c>
      <c r="AC58" s="21">
        <v>25</v>
      </c>
      <c r="AD58" s="30">
        <f t="shared" si="19"/>
        <v>45695</v>
      </c>
      <c r="AE58" s="30">
        <f t="shared" si="22"/>
        <v>45684</v>
      </c>
    </row>
    <row r="59" spans="2:31" x14ac:dyDescent="0.3">
      <c r="B59" s="42">
        <v>26</v>
      </c>
      <c r="C59" s="90">
        <f t="shared" si="20"/>
        <v>45723</v>
      </c>
      <c r="D59" s="91">
        <f t="shared" si="4"/>
        <v>6395.5199999999959</v>
      </c>
      <c r="E59" s="92">
        <f t="shared" si="2"/>
        <v>6177.0899999999956</v>
      </c>
      <c r="F59" s="93">
        <f t="shared" si="9"/>
        <v>218.43</v>
      </c>
      <c r="G59" s="93">
        <f t="shared" si="10"/>
        <v>151.04</v>
      </c>
      <c r="H59" s="93">
        <f t="shared" si="11"/>
        <v>7.58</v>
      </c>
      <c r="I59" s="93">
        <v>0</v>
      </c>
      <c r="J59" s="99">
        <f t="shared" si="12"/>
        <v>377.05</v>
      </c>
      <c r="K59" s="93">
        <f t="shared" si="5"/>
        <v>0</v>
      </c>
      <c r="L59" s="100">
        <f t="shared" si="13"/>
        <v>377.05</v>
      </c>
      <c r="N59" s="96">
        <f t="shared" si="6"/>
        <v>0.49665229999999999</v>
      </c>
      <c r="O59" s="102">
        <f t="shared" si="7"/>
        <v>1</v>
      </c>
      <c r="P59" s="98">
        <f t="shared" si="3"/>
        <v>799</v>
      </c>
      <c r="R59" s="93">
        <f t="shared" si="21"/>
        <v>151.03667897334338</v>
      </c>
      <c r="S59" s="103">
        <f t="shared" si="14"/>
        <v>0</v>
      </c>
      <c r="V59" s="104">
        <f t="shared" si="15"/>
        <v>7.58</v>
      </c>
      <c r="W59" s="104"/>
      <c r="Y59" s="30">
        <f t="shared" si="16"/>
        <v>45723</v>
      </c>
      <c r="Z59" s="30">
        <f t="shared" si="17"/>
        <v>45723</v>
      </c>
      <c r="AA59" s="30">
        <f t="shared" si="18"/>
        <v>45723</v>
      </c>
      <c r="AC59" s="21">
        <v>26</v>
      </c>
      <c r="AD59" s="30">
        <f t="shared" si="19"/>
        <v>45723</v>
      </c>
      <c r="AE59" s="30">
        <f t="shared" si="22"/>
        <v>45714</v>
      </c>
    </row>
    <row r="60" spans="2:31" x14ac:dyDescent="0.3">
      <c r="B60" s="42">
        <v>27</v>
      </c>
      <c r="C60" s="90">
        <f t="shared" si="20"/>
        <v>45754</v>
      </c>
      <c r="D60" s="91">
        <f t="shared" si="4"/>
        <v>6177.0899999999956</v>
      </c>
      <c r="E60" s="92">
        <f t="shared" si="2"/>
        <v>5969.8599999999951</v>
      </c>
      <c r="F60" s="93">
        <f t="shared" si="9"/>
        <v>207.23000000000002</v>
      </c>
      <c r="G60" s="93">
        <f t="shared" si="10"/>
        <v>161.71</v>
      </c>
      <c r="H60" s="93">
        <f t="shared" si="11"/>
        <v>8.11</v>
      </c>
      <c r="I60" s="93">
        <v>0</v>
      </c>
      <c r="J60" s="99">
        <f t="shared" si="12"/>
        <v>377.05000000000007</v>
      </c>
      <c r="K60" s="93">
        <f t="shared" si="5"/>
        <v>0</v>
      </c>
      <c r="L60" s="100">
        <f t="shared" si="13"/>
        <v>377.05000000000007</v>
      </c>
      <c r="N60" s="96">
        <f t="shared" si="6"/>
        <v>0.48334779999999999</v>
      </c>
      <c r="O60" s="102">
        <f t="shared" si="7"/>
        <v>1</v>
      </c>
      <c r="P60" s="98">
        <f t="shared" si="3"/>
        <v>830</v>
      </c>
      <c r="R60" s="93">
        <f t="shared" si="21"/>
        <v>161.71095466294807</v>
      </c>
      <c r="S60" s="103">
        <f t="shared" si="14"/>
        <v>0</v>
      </c>
      <c r="V60" s="104">
        <f t="shared" si="15"/>
        <v>8.11</v>
      </c>
      <c r="W60" s="104"/>
      <c r="Y60" s="30">
        <f t="shared" si="16"/>
        <v>45754</v>
      </c>
      <c r="Z60" s="30">
        <f t="shared" si="17"/>
        <v>45754</v>
      </c>
      <c r="AA60" s="30">
        <f t="shared" si="18"/>
        <v>45754</v>
      </c>
      <c r="AC60" s="21">
        <v>27</v>
      </c>
      <c r="AD60" s="30">
        <f t="shared" si="19"/>
        <v>45754</v>
      </c>
      <c r="AE60" s="30">
        <f t="shared" si="22"/>
        <v>45744</v>
      </c>
    </row>
    <row r="61" spans="2:31" x14ac:dyDescent="0.3">
      <c r="B61" s="42">
        <v>28</v>
      </c>
      <c r="C61" s="90">
        <f t="shared" si="20"/>
        <v>45784</v>
      </c>
      <c r="D61" s="91">
        <f t="shared" si="4"/>
        <v>5969.8599999999951</v>
      </c>
      <c r="E61" s="92">
        <f t="shared" si="2"/>
        <v>5751.5699999999952</v>
      </c>
      <c r="F61" s="93">
        <f t="shared" si="9"/>
        <v>218.29</v>
      </c>
      <c r="G61" s="93">
        <f t="shared" si="10"/>
        <v>151.18</v>
      </c>
      <c r="H61" s="93">
        <f t="shared" si="11"/>
        <v>7.58</v>
      </c>
      <c r="I61" s="93">
        <v>0</v>
      </c>
      <c r="J61" s="99">
        <f t="shared" si="12"/>
        <v>377.05</v>
      </c>
      <c r="K61" s="93">
        <f t="shared" si="5"/>
        <v>0</v>
      </c>
      <c r="L61" s="100">
        <f t="shared" si="13"/>
        <v>377.05</v>
      </c>
      <c r="N61" s="96">
        <f t="shared" si="6"/>
        <v>0.47081191999999999</v>
      </c>
      <c r="O61" s="102">
        <f t="shared" si="7"/>
        <v>1</v>
      </c>
      <c r="P61" s="98">
        <f t="shared" si="3"/>
        <v>860</v>
      </c>
      <c r="R61" s="93">
        <f t="shared" si="21"/>
        <v>151.18107640519511</v>
      </c>
      <c r="S61" s="103">
        <f t="shared" si="14"/>
        <v>0</v>
      </c>
      <c r="V61" s="104">
        <f t="shared" si="15"/>
        <v>7.58</v>
      </c>
      <c r="W61" s="104"/>
      <c r="Y61" s="30">
        <f t="shared" si="16"/>
        <v>45784</v>
      </c>
      <c r="Z61" s="30">
        <f t="shared" si="17"/>
        <v>45784</v>
      </c>
      <c r="AA61" s="30">
        <f t="shared" si="18"/>
        <v>45784</v>
      </c>
      <c r="AC61" s="21">
        <v>28</v>
      </c>
      <c r="AD61" s="30">
        <f t="shared" si="19"/>
        <v>45784</v>
      </c>
      <c r="AE61" s="30">
        <f t="shared" si="22"/>
        <v>45774</v>
      </c>
    </row>
    <row r="62" spans="2:31" x14ac:dyDescent="0.3">
      <c r="B62" s="42">
        <v>29</v>
      </c>
      <c r="C62" s="90">
        <f t="shared" si="20"/>
        <v>45815</v>
      </c>
      <c r="D62" s="91">
        <f t="shared" si="4"/>
        <v>5751.5699999999952</v>
      </c>
      <c r="E62" s="92">
        <f t="shared" si="2"/>
        <v>5532.6399999999949</v>
      </c>
      <c r="F62" s="93">
        <f t="shared" si="9"/>
        <v>218.93</v>
      </c>
      <c r="G62" s="93">
        <f t="shared" si="10"/>
        <v>150.57</v>
      </c>
      <c r="H62" s="93">
        <f t="shared" si="11"/>
        <v>7.55</v>
      </c>
      <c r="I62" s="93">
        <v>0</v>
      </c>
      <c r="J62" s="99">
        <f t="shared" si="12"/>
        <v>377.05</v>
      </c>
      <c r="K62" s="93">
        <f t="shared" si="5"/>
        <v>0</v>
      </c>
      <c r="L62" s="100">
        <f t="shared" si="13"/>
        <v>377.05</v>
      </c>
      <c r="N62" s="96">
        <f t="shared" si="6"/>
        <v>0.45819964000000002</v>
      </c>
      <c r="O62" s="102">
        <f t="shared" si="7"/>
        <v>1</v>
      </c>
      <c r="P62" s="98">
        <f t="shared" si="3"/>
        <v>891</v>
      </c>
      <c r="R62" s="93">
        <f t="shared" si="21"/>
        <v>150.57120351342982</v>
      </c>
      <c r="S62" s="103">
        <f t="shared" si="14"/>
        <v>0</v>
      </c>
      <c r="V62" s="104">
        <f t="shared" si="15"/>
        <v>7.55</v>
      </c>
      <c r="W62" s="104"/>
      <c r="Y62" s="30">
        <f t="shared" si="16"/>
        <v>45815</v>
      </c>
      <c r="Z62" s="30">
        <f t="shared" si="17"/>
        <v>45815</v>
      </c>
      <c r="AA62" s="30">
        <f t="shared" si="18"/>
        <v>45815</v>
      </c>
      <c r="AC62" s="21">
        <v>29</v>
      </c>
      <c r="AD62" s="30">
        <f t="shared" si="19"/>
        <v>45815</v>
      </c>
      <c r="AE62" s="30">
        <f t="shared" si="22"/>
        <v>45804</v>
      </c>
    </row>
    <row r="63" spans="2:31" x14ac:dyDescent="0.3">
      <c r="B63" s="42">
        <v>30</v>
      </c>
      <c r="C63" s="90">
        <f t="shared" si="20"/>
        <v>45845</v>
      </c>
      <c r="D63" s="91">
        <f t="shared" si="4"/>
        <v>5532.6399999999949</v>
      </c>
      <c r="E63" s="92">
        <f t="shared" si="2"/>
        <v>5302.729999999995</v>
      </c>
      <c r="F63" s="93">
        <f t="shared" si="9"/>
        <v>229.91</v>
      </c>
      <c r="G63" s="93">
        <f t="shared" si="10"/>
        <v>140.11000000000001</v>
      </c>
      <c r="H63" s="93">
        <f t="shared" si="11"/>
        <v>7.03</v>
      </c>
      <c r="I63" s="93">
        <v>0</v>
      </c>
      <c r="J63" s="99">
        <f t="shared" si="12"/>
        <v>377.04999999999995</v>
      </c>
      <c r="K63" s="93">
        <f t="shared" si="5"/>
        <v>0</v>
      </c>
      <c r="L63" s="100">
        <f t="shared" si="13"/>
        <v>377.04999999999995</v>
      </c>
      <c r="N63" s="96">
        <f t="shared" si="6"/>
        <v>0.44631599</v>
      </c>
      <c r="O63" s="102">
        <f t="shared" si="7"/>
        <v>1</v>
      </c>
      <c r="P63" s="98">
        <f t="shared" si="3"/>
        <v>921</v>
      </c>
      <c r="R63" s="93">
        <f t="shared" si="21"/>
        <v>140.10889209503046</v>
      </c>
      <c r="S63" s="103">
        <f t="shared" si="14"/>
        <v>0</v>
      </c>
      <c r="V63" s="104">
        <f t="shared" si="15"/>
        <v>7.03</v>
      </c>
      <c r="W63" s="104"/>
      <c r="Y63" s="30">
        <f t="shared" si="16"/>
        <v>45845</v>
      </c>
      <c r="Z63" s="30">
        <f t="shared" si="17"/>
        <v>45845</v>
      </c>
      <c r="AA63" s="30">
        <f t="shared" si="18"/>
        <v>45845</v>
      </c>
      <c r="AC63" s="21">
        <v>30</v>
      </c>
      <c r="AD63" s="30">
        <f t="shared" si="19"/>
        <v>45845</v>
      </c>
      <c r="AE63" s="30">
        <f t="shared" si="22"/>
        <v>45834</v>
      </c>
    </row>
    <row r="64" spans="2:31" x14ac:dyDescent="0.3">
      <c r="B64" s="42">
        <v>31</v>
      </c>
      <c r="C64" s="90">
        <f t="shared" si="20"/>
        <v>45876</v>
      </c>
      <c r="D64" s="91">
        <f t="shared" si="4"/>
        <v>5302.729999999995</v>
      </c>
      <c r="E64" s="92">
        <f t="shared" si="2"/>
        <v>5071.4599999999946</v>
      </c>
      <c r="F64" s="93">
        <f t="shared" si="9"/>
        <v>231.27</v>
      </c>
      <c r="G64" s="93">
        <f t="shared" si="10"/>
        <v>138.82</v>
      </c>
      <c r="H64" s="93">
        <f t="shared" si="11"/>
        <v>6.96</v>
      </c>
      <c r="I64" s="93">
        <v>0</v>
      </c>
      <c r="J64" s="99">
        <f t="shared" si="12"/>
        <v>377.05</v>
      </c>
      <c r="K64" s="93">
        <f t="shared" si="5"/>
        <v>0</v>
      </c>
      <c r="L64" s="100">
        <f t="shared" si="13"/>
        <v>377.05</v>
      </c>
      <c r="N64" s="96">
        <f t="shared" si="6"/>
        <v>0.43435991000000002</v>
      </c>
      <c r="O64" s="102">
        <f t="shared" si="7"/>
        <v>1</v>
      </c>
      <c r="P64" s="98">
        <f t="shared" si="3"/>
        <v>952</v>
      </c>
      <c r="R64" s="93">
        <f t="shared" si="21"/>
        <v>138.82095462747904</v>
      </c>
      <c r="S64" s="103">
        <f t="shared" si="14"/>
        <v>0</v>
      </c>
      <c r="V64" s="104">
        <f t="shared" si="15"/>
        <v>6.96</v>
      </c>
      <c r="W64" s="104"/>
      <c r="Y64" s="30">
        <f t="shared" si="16"/>
        <v>45876</v>
      </c>
      <c r="Z64" s="30">
        <f t="shared" si="17"/>
        <v>45876</v>
      </c>
      <c r="AA64" s="30">
        <f t="shared" si="18"/>
        <v>45876</v>
      </c>
      <c r="AC64" s="21">
        <v>31</v>
      </c>
      <c r="AD64" s="30">
        <f t="shared" si="19"/>
        <v>45876</v>
      </c>
      <c r="AE64" s="30">
        <f t="shared" si="22"/>
        <v>45864</v>
      </c>
    </row>
    <row r="65" spans="2:31" x14ac:dyDescent="0.3">
      <c r="B65" s="42">
        <v>32</v>
      </c>
      <c r="C65" s="90">
        <f t="shared" si="20"/>
        <v>45907</v>
      </c>
      <c r="D65" s="91">
        <f t="shared" si="4"/>
        <v>5071.4599999999946</v>
      </c>
      <c r="E65" s="92">
        <f t="shared" ref="E65:E96" si="23">+D65-F65</f>
        <v>4833.8399999999947</v>
      </c>
      <c r="F65" s="93">
        <f t="shared" si="9"/>
        <v>237.62</v>
      </c>
      <c r="G65" s="93">
        <f t="shared" si="10"/>
        <v>132.77000000000001</v>
      </c>
      <c r="H65" s="93">
        <f t="shared" si="11"/>
        <v>6.66</v>
      </c>
      <c r="I65" s="93">
        <v>0</v>
      </c>
      <c r="J65" s="99">
        <f t="shared" si="12"/>
        <v>377.05</v>
      </c>
      <c r="K65" s="93">
        <f t="shared" si="5"/>
        <v>0</v>
      </c>
      <c r="L65" s="100">
        <f t="shared" si="13"/>
        <v>377.05</v>
      </c>
      <c r="N65" s="96">
        <f t="shared" si="6"/>
        <v>0.42272411999999998</v>
      </c>
      <c r="O65" s="102">
        <f t="shared" si="7"/>
        <v>1</v>
      </c>
      <c r="P65" s="98">
        <f t="shared" ref="P65:P96" si="24">C65-$C$33</f>
        <v>983</v>
      </c>
      <c r="R65" s="93">
        <f t="shared" si="21"/>
        <v>132.76650301921364</v>
      </c>
      <c r="S65" s="103">
        <f t="shared" si="14"/>
        <v>0</v>
      </c>
      <c r="V65" s="104">
        <f t="shared" si="15"/>
        <v>6.66</v>
      </c>
      <c r="W65" s="104"/>
      <c r="Y65" s="30">
        <f t="shared" si="16"/>
        <v>45907</v>
      </c>
      <c r="Z65" s="30">
        <f t="shared" si="17"/>
        <v>45907</v>
      </c>
      <c r="AA65" s="30">
        <f t="shared" si="18"/>
        <v>45907</v>
      </c>
      <c r="AC65" s="21">
        <v>32</v>
      </c>
      <c r="AD65" s="30">
        <f t="shared" si="19"/>
        <v>45907</v>
      </c>
      <c r="AE65" s="30">
        <f t="shared" si="22"/>
        <v>45894</v>
      </c>
    </row>
    <row r="66" spans="2:31" x14ac:dyDescent="0.3">
      <c r="B66" s="42">
        <v>33</v>
      </c>
      <c r="C66" s="90">
        <f t="shared" si="20"/>
        <v>45937</v>
      </c>
      <c r="D66" s="91">
        <f t="shared" ref="D66:D97" si="25">+E65</f>
        <v>4833.8399999999947</v>
      </c>
      <c r="E66" s="92">
        <f t="shared" si="23"/>
        <v>4585.3399999999947</v>
      </c>
      <c r="F66" s="93">
        <f t="shared" si="9"/>
        <v>248.50000000000003</v>
      </c>
      <c r="G66" s="93">
        <f t="shared" si="10"/>
        <v>122.41</v>
      </c>
      <c r="H66" s="93">
        <f t="shared" si="11"/>
        <v>6.14</v>
      </c>
      <c r="I66" s="93">
        <v>0</v>
      </c>
      <c r="J66" s="99">
        <f t="shared" si="12"/>
        <v>377.05</v>
      </c>
      <c r="K66" s="93">
        <f t="shared" ref="K66:K97" si="26">+IF(B66&lt;=$E$18,$E$21,0)</f>
        <v>0</v>
      </c>
      <c r="L66" s="100">
        <f t="shared" si="13"/>
        <v>377.05</v>
      </c>
      <c r="N66" s="96">
        <f t="shared" ref="N66:N97" si="27">IF(B66&lt;=$E$18,ROUND((1+$G$18)^(-P66),8),0)</f>
        <v>0.41176054000000001</v>
      </c>
      <c r="O66" s="102">
        <f t="shared" ref="O66:O97" si="28">VLOOKUP(MONTH(C66),$R$10:$S$25,2,0)</f>
        <v>1</v>
      </c>
      <c r="P66" s="98">
        <f t="shared" si="24"/>
        <v>1013</v>
      </c>
      <c r="R66" s="93">
        <f t="shared" si="21"/>
        <v>122.41244088981787</v>
      </c>
      <c r="S66" s="103">
        <f t="shared" si="14"/>
        <v>0</v>
      </c>
      <c r="V66" s="104">
        <f t="shared" si="15"/>
        <v>6.14</v>
      </c>
      <c r="W66" s="104"/>
      <c r="Y66" s="30">
        <f t="shared" si="16"/>
        <v>45937</v>
      </c>
      <c r="Z66" s="30">
        <f t="shared" si="17"/>
        <v>45937</v>
      </c>
      <c r="AA66" s="30">
        <f t="shared" si="18"/>
        <v>45937</v>
      </c>
      <c r="AC66" s="21">
        <v>33</v>
      </c>
      <c r="AD66" s="30">
        <f t="shared" si="19"/>
        <v>45937</v>
      </c>
      <c r="AE66" s="30">
        <f t="shared" si="22"/>
        <v>45924</v>
      </c>
    </row>
    <row r="67" spans="2:31" x14ac:dyDescent="0.3">
      <c r="B67" s="42">
        <v>34</v>
      </c>
      <c r="C67" s="90">
        <f t="shared" si="20"/>
        <v>45968</v>
      </c>
      <c r="D67" s="91">
        <f t="shared" si="25"/>
        <v>4585.3399999999947</v>
      </c>
      <c r="E67" s="92">
        <f t="shared" si="23"/>
        <v>4334.3499999999949</v>
      </c>
      <c r="F67" s="93">
        <f t="shared" si="9"/>
        <v>250.98999999999998</v>
      </c>
      <c r="G67" s="93">
        <f t="shared" si="10"/>
        <v>120.04</v>
      </c>
      <c r="H67" s="93">
        <f t="shared" si="11"/>
        <v>6.02</v>
      </c>
      <c r="I67" s="93">
        <v>0</v>
      </c>
      <c r="J67" s="99">
        <f t="shared" si="12"/>
        <v>377.04999999999995</v>
      </c>
      <c r="K67" s="93">
        <f t="shared" si="26"/>
        <v>0</v>
      </c>
      <c r="L67" s="100">
        <f t="shared" si="13"/>
        <v>377.04999999999995</v>
      </c>
      <c r="N67" s="96">
        <f t="shared" si="27"/>
        <v>0.40073015000000001</v>
      </c>
      <c r="O67" s="102">
        <f t="shared" si="28"/>
        <v>1</v>
      </c>
      <c r="P67" s="98">
        <f t="shared" si="24"/>
        <v>1044</v>
      </c>
      <c r="R67" s="93">
        <f t="shared" si="21"/>
        <v>120.04029548771379</v>
      </c>
      <c r="S67" s="103">
        <f t="shared" si="14"/>
        <v>0</v>
      </c>
      <c r="V67" s="104">
        <f t="shared" si="15"/>
        <v>6.02</v>
      </c>
      <c r="W67" s="104"/>
      <c r="Y67" s="30">
        <f t="shared" si="16"/>
        <v>45968</v>
      </c>
      <c r="Z67" s="30">
        <f t="shared" si="17"/>
        <v>45968</v>
      </c>
      <c r="AA67" s="30">
        <f t="shared" si="18"/>
        <v>45968</v>
      </c>
      <c r="AC67" s="21">
        <v>34</v>
      </c>
      <c r="AD67" s="30">
        <f t="shared" si="19"/>
        <v>45968</v>
      </c>
      <c r="AE67" s="30">
        <f t="shared" si="22"/>
        <v>45954</v>
      </c>
    </row>
    <row r="68" spans="2:31" x14ac:dyDescent="0.3">
      <c r="B68" s="42">
        <v>35</v>
      </c>
      <c r="C68" s="90">
        <f t="shared" si="20"/>
        <v>45998</v>
      </c>
      <c r="D68" s="91">
        <f t="shared" si="25"/>
        <v>4334.3499999999949</v>
      </c>
      <c r="E68" s="92">
        <f t="shared" si="23"/>
        <v>4072.5599999999949</v>
      </c>
      <c r="F68" s="93">
        <f t="shared" si="9"/>
        <v>261.79000000000002</v>
      </c>
      <c r="G68" s="93">
        <f t="shared" si="10"/>
        <v>109.76</v>
      </c>
      <c r="H68" s="93">
        <f t="shared" si="11"/>
        <v>5.5</v>
      </c>
      <c r="I68" s="93">
        <v>0</v>
      </c>
      <c r="J68" s="99">
        <f t="shared" si="12"/>
        <v>377.05</v>
      </c>
      <c r="K68" s="93">
        <f t="shared" si="26"/>
        <v>0</v>
      </c>
      <c r="L68" s="100">
        <f t="shared" si="13"/>
        <v>377.05</v>
      </c>
      <c r="N68" s="96">
        <f t="shared" si="27"/>
        <v>0.39033699999999999</v>
      </c>
      <c r="O68" s="102">
        <f t="shared" si="28"/>
        <v>1</v>
      </c>
      <c r="P68" s="98">
        <f t="shared" si="24"/>
        <v>1074</v>
      </c>
      <c r="R68" s="93">
        <f t="shared" si="21"/>
        <v>109.76332753479264</v>
      </c>
      <c r="S68" s="103">
        <f t="shared" si="14"/>
        <v>0</v>
      </c>
      <c r="V68" s="104">
        <f t="shared" si="15"/>
        <v>5.5</v>
      </c>
      <c r="W68" s="104"/>
      <c r="Y68" s="30">
        <f t="shared" si="16"/>
        <v>45998</v>
      </c>
      <c r="Z68" s="30">
        <f t="shared" si="17"/>
        <v>45998</v>
      </c>
      <c r="AA68" s="30">
        <f t="shared" si="18"/>
        <v>45998</v>
      </c>
      <c r="AC68" s="21">
        <v>35</v>
      </c>
      <c r="AD68" s="30">
        <f t="shared" si="19"/>
        <v>45998</v>
      </c>
      <c r="AE68" s="30">
        <f t="shared" si="22"/>
        <v>45984</v>
      </c>
    </row>
    <row r="69" spans="2:31" x14ac:dyDescent="0.3">
      <c r="B69" s="42">
        <v>36</v>
      </c>
      <c r="C69" s="90">
        <f t="shared" si="20"/>
        <v>46029</v>
      </c>
      <c r="D69" s="91">
        <f t="shared" si="25"/>
        <v>4072.5599999999949</v>
      </c>
      <c r="E69" s="92">
        <f t="shared" si="23"/>
        <v>3807.4699999999948</v>
      </c>
      <c r="F69" s="93">
        <f t="shared" si="9"/>
        <v>265.09000000000003</v>
      </c>
      <c r="G69" s="93">
        <f t="shared" si="10"/>
        <v>106.62</v>
      </c>
      <c r="H69" s="93">
        <f t="shared" si="11"/>
        <v>5.34</v>
      </c>
      <c r="I69" s="93">
        <v>0</v>
      </c>
      <c r="J69" s="99">
        <f t="shared" si="12"/>
        <v>377.05</v>
      </c>
      <c r="K69" s="93">
        <f t="shared" si="26"/>
        <v>0</v>
      </c>
      <c r="L69" s="100">
        <f t="shared" si="13"/>
        <v>377.05</v>
      </c>
      <c r="N69" s="96">
        <f t="shared" si="27"/>
        <v>0.37988051</v>
      </c>
      <c r="O69" s="102">
        <f t="shared" si="28"/>
        <v>1</v>
      </c>
      <c r="P69" s="98">
        <f t="shared" si="24"/>
        <v>1105</v>
      </c>
      <c r="R69" s="93">
        <f t="shared" si="21"/>
        <v>106.61615186473493</v>
      </c>
      <c r="S69" s="103">
        <f t="shared" si="14"/>
        <v>0</v>
      </c>
      <c r="V69" s="104">
        <f t="shared" si="15"/>
        <v>5.34</v>
      </c>
      <c r="W69" s="104"/>
      <c r="Y69" s="30">
        <f t="shared" si="16"/>
        <v>46029</v>
      </c>
      <c r="Z69" s="30">
        <f t="shared" si="17"/>
        <v>46029</v>
      </c>
      <c r="AA69" s="30">
        <f t="shared" si="18"/>
        <v>46029</v>
      </c>
      <c r="AC69" s="21">
        <v>36</v>
      </c>
      <c r="AD69" s="30">
        <f t="shared" si="19"/>
        <v>46029</v>
      </c>
      <c r="AE69" s="30">
        <f t="shared" si="22"/>
        <v>46014</v>
      </c>
    </row>
    <row r="70" spans="2:31" x14ac:dyDescent="0.3">
      <c r="B70" s="42">
        <v>37</v>
      </c>
      <c r="C70" s="90">
        <f t="shared" si="20"/>
        <v>46060</v>
      </c>
      <c r="D70" s="91">
        <f t="shared" si="25"/>
        <v>3807.4699999999948</v>
      </c>
      <c r="E70" s="92">
        <f t="shared" si="23"/>
        <v>3535.0999999999949</v>
      </c>
      <c r="F70" s="93">
        <f t="shared" si="9"/>
        <v>272.37</v>
      </c>
      <c r="G70" s="93">
        <f t="shared" si="10"/>
        <v>99.68</v>
      </c>
      <c r="H70" s="93">
        <f t="shared" si="11"/>
        <v>5</v>
      </c>
      <c r="I70" s="93">
        <v>0</v>
      </c>
      <c r="J70" s="99">
        <f t="shared" si="12"/>
        <v>377.05</v>
      </c>
      <c r="K70" s="93">
        <f t="shared" si="26"/>
        <v>0</v>
      </c>
      <c r="L70" s="100">
        <f t="shared" si="13"/>
        <v>377.05</v>
      </c>
      <c r="N70" s="96">
        <f t="shared" si="27"/>
        <v>0.36970413000000002</v>
      </c>
      <c r="O70" s="102">
        <f t="shared" si="28"/>
        <v>1</v>
      </c>
      <c r="P70" s="98">
        <f t="shared" si="24"/>
        <v>1136</v>
      </c>
      <c r="R70" s="93">
        <f t="shared" si="21"/>
        <v>99.676321463753084</v>
      </c>
      <c r="S70" s="103">
        <f t="shared" si="14"/>
        <v>0</v>
      </c>
      <c r="V70" s="104">
        <f t="shared" si="15"/>
        <v>5</v>
      </c>
      <c r="W70" s="104"/>
      <c r="Y70" s="30">
        <f t="shared" si="16"/>
        <v>46060</v>
      </c>
      <c r="Z70" s="30">
        <f t="shared" si="17"/>
        <v>46060</v>
      </c>
      <c r="AA70" s="30">
        <f t="shared" si="18"/>
        <v>46060</v>
      </c>
      <c r="AC70" s="21">
        <v>37</v>
      </c>
      <c r="AD70" s="30">
        <f t="shared" si="19"/>
        <v>46060</v>
      </c>
      <c r="AE70" s="30">
        <f t="shared" si="22"/>
        <v>46044</v>
      </c>
    </row>
    <row r="71" spans="2:31" x14ac:dyDescent="0.3">
      <c r="B71" s="42">
        <v>38</v>
      </c>
      <c r="C71" s="90">
        <f t="shared" si="20"/>
        <v>46088</v>
      </c>
      <c r="D71" s="91">
        <f t="shared" si="25"/>
        <v>3535.0999999999949</v>
      </c>
      <c r="E71" s="92">
        <f t="shared" si="23"/>
        <v>3245.7199999999948</v>
      </c>
      <c r="F71" s="93">
        <f t="shared" si="9"/>
        <v>289.38</v>
      </c>
      <c r="G71" s="93">
        <f t="shared" si="10"/>
        <v>83.48</v>
      </c>
      <c r="H71" s="93">
        <f t="shared" si="11"/>
        <v>4.1900000000000004</v>
      </c>
      <c r="I71" s="93">
        <v>0</v>
      </c>
      <c r="J71" s="99">
        <f t="shared" si="12"/>
        <v>377.05</v>
      </c>
      <c r="K71" s="93">
        <f t="shared" si="26"/>
        <v>0</v>
      </c>
      <c r="L71" s="100">
        <f t="shared" si="13"/>
        <v>377.05</v>
      </c>
      <c r="N71" s="96">
        <f t="shared" si="27"/>
        <v>0.36074708</v>
      </c>
      <c r="O71" s="102">
        <f t="shared" si="28"/>
        <v>1</v>
      </c>
      <c r="P71" s="98">
        <f t="shared" si="24"/>
        <v>1164</v>
      </c>
      <c r="R71" s="93">
        <f t="shared" si="21"/>
        <v>83.484965075344277</v>
      </c>
      <c r="S71" s="103">
        <f t="shared" si="14"/>
        <v>0</v>
      </c>
      <c r="V71" s="104">
        <f t="shared" si="15"/>
        <v>4.1900000000000004</v>
      </c>
      <c r="W71" s="104"/>
      <c r="Y71" s="30">
        <f t="shared" si="16"/>
        <v>46088</v>
      </c>
      <c r="Z71" s="30">
        <f t="shared" si="17"/>
        <v>46088</v>
      </c>
      <c r="AA71" s="30">
        <f t="shared" si="18"/>
        <v>46088</v>
      </c>
      <c r="AC71" s="21">
        <v>38</v>
      </c>
      <c r="AD71" s="30">
        <f t="shared" si="19"/>
        <v>46088</v>
      </c>
      <c r="AE71" s="30">
        <f t="shared" si="22"/>
        <v>46074</v>
      </c>
    </row>
    <row r="72" spans="2:31" x14ac:dyDescent="0.3">
      <c r="B72" s="42">
        <v>39</v>
      </c>
      <c r="C72" s="90">
        <f t="shared" si="20"/>
        <v>46119</v>
      </c>
      <c r="D72" s="91">
        <f t="shared" si="25"/>
        <v>3245.7199999999948</v>
      </c>
      <c r="E72" s="92">
        <f t="shared" si="23"/>
        <v>2957.8999999999946</v>
      </c>
      <c r="F72" s="93">
        <f t="shared" si="9"/>
        <v>287.82000000000005</v>
      </c>
      <c r="G72" s="93">
        <f t="shared" si="10"/>
        <v>84.97</v>
      </c>
      <c r="H72" s="93">
        <f t="shared" si="11"/>
        <v>4.26</v>
      </c>
      <c r="I72" s="93">
        <v>0</v>
      </c>
      <c r="J72" s="99">
        <f t="shared" si="12"/>
        <v>377.05000000000007</v>
      </c>
      <c r="K72" s="93">
        <f t="shared" si="26"/>
        <v>0</v>
      </c>
      <c r="L72" s="100">
        <f t="shared" si="13"/>
        <v>377.05000000000007</v>
      </c>
      <c r="N72" s="96">
        <f t="shared" si="27"/>
        <v>0.35108326000000001</v>
      </c>
      <c r="O72" s="102">
        <f t="shared" si="28"/>
        <v>1</v>
      </c>
      <c r="P72" s="98">
        <f t="shared" si="24"/>
        <v>1195</v>
      </c>
      <c r="R72" s="93">
        <f t="shared" si="21"/>
        <v>84.970184952562349</v>
      </c>
      <c r="S72" s="103">
        <f t="shared" si="14"/>
        <v>0</v>
      </c>
      <c r="V72" s="104">
        <f t="shared" si="15"/>
        <v>4.26</v>
      </c>
      <c r="W72" s="104"/>
      <c r="Y72" s="30">
        <f t="shared" si="16"/>
        <v>46119</v>
      </c>
      <c r="Z72" s="30">
        <f t="shared" si="17"/>
        <v>46119</v>
      </c>
      <c r="AA72" s="30">
        <f t="shared" si="18"/>
        <v>46119</v>
      </c>
      <c r="AC72" s="21">
        <v>39</v>
      </c>
      <c r="AD72" s="30">
        <f t="shared" si="19"/>
        <v>46119</v>
      </c>
      <c r="AE72" s="30">
        <f t="shared" si="22"/>
        <v>46104</v>
      </c>
    </row>
    <row r="73" spans="2:31" x14ac:dyDescent="0.3">
      <c r="B73" s="42">
        <v>40</v>
      </c>
      <c r="C73" s="90">
        <f t="shared" si="20"/>
        <v>46149</v>
      </c>
      <c r="D73" s="91">
        <f t="shared" si="25"/>
        <v>2957.8999999999946</v>
      </c>
      <c r="E73" s="92">
        <f t="shared" si="23"/>
        <v>2659.5199999999945</v>
      </c>
      <c r="F73" s="93">
        <f t="shared" si="9"/>
        <v>298.38</v>
      </c>
      <c r="G73" s="93">
        <f t="shared" si="10"/>
        <v>74.91</v>
      </c>
      <c r="H73" s="93">
        <f t="shared" si="11"/>
        <v>3.76</v>
      </c>
      <c r="I73" s="93">
        <v>0</v>
      </c>
      <c r="J73" s="99">
        <f t="shared" si="12"/>
        <v>377.04999999999995</v>
      </c>
      <c r="K73" s="93">
        <f t="shared" si="26"/>
        <v>0</v>
      </c>
      <c r="L73" s="100">
        <f t="shared" si="13"/>
        <v>377.04999999999995</v>
      </c>
      <c r="N73" s="96">
        <f t="shared" si="27"/>
        <v>0.34197772999999998</v>
      </c>
      <c r="O73" s="102">
        <f t="shared" si="28"/>
        <v>1</v>
      </c>
      <c r="P73" s="98">
        <f t="shared" si="24"/>
        <v>1225</v>
      </c>
      <c r="R73" s="93">
        <f t="shared" si="21"/>
        <v>74.906028935172046</v>
      </c>
      <c r="S73" s="103">
        <f t="shared" si="14"/>
        <v>0</v>
      </c>
      <c r="V73" s="104">
        <f t="shared" si="15"/>
        <v>3.76</v>
      </c>
      <c r="W73" s="104"/>
      <c r="Y73" s="30">
        <f t="shared" si="16"/>
        <v>46149</v>
      </c>
      <c r="Z73" s="30">
        <f t="shared" si="17"/>
        <v>46149</v>
      </c>
      <c r="AA73" s="30">
        <f t="shared" si="18"/>
        <v>46149</v>
      </c>
      <c r="AC73" s="21">
        <v>40</v>
      </c>
      <c r="AD73" s="30">
        <f t="shared" si="19"/>
        <v>46149</v>
      </c>
      <c r="AE73" s="30">
        <f t="shared" si="22"/>
        <v>46134</v>
      </c>
    </row>
    <row r="74" spans="2:31" x14ac:dyDescent="0.3">
      <c r="B74" s="42">
        <v>41</v>
      </c>
      <c r="C74" s="90">
        <f t="shared" si="20"/>
        <v>46180</v>
      </c>
      <c r="D74" s="91">
        <f t="shared" si="25"/>
        <v>2659.5199999999945</v>
      </c>
      <c r="E74" s="92">
        <f t="shared" si="23"/>
        <v>2355.5799999999945</v>
      </c>
      <c r="F74" s="93">
        <f t="shared" si="9"/>
        <v>303.94</v>
      </c>
      <c r="G74" s="93">
        <f t="shared" si="10"/>
        <v>69.62</v>
      </c>
      <c r="H74" s="93">
        <f t="shared" si="11"/>
        <v>3.49</v>
      </c>
      <c r="I74" s="93">
        <v>0</v>
      </c>
      <c r="J74" s="99">
        <f t="shared" si="12"/>
        <v>377.05</v>
      </c>
      <c r="K74" s="93">
        <f t="shared" si="26"/>
        <v>0</v>
      </c>
      <c r="L74" s="100">
        <f t="shared" si="13"/>
        <v>377.05</v>
      </c>
      <c r="N74" s="96">
        <f t="shared" si="27"/>
        <v>0.33281670000000002</v>
      </c>
      <c r="O74" s="102">
        <f t="shared" si="28"/>
        <v>1</v>
      </c>
      <c r="P74" s="98">
        <f t="shared" si="24"/>
        <v>1256</v>
      </c>
      <c r="R74" s="93">
        <f t="shared" si="21"/>
        <v>69.623968267453293</v>
      </c>
      <c r="S74" s="103">
        <f t="shared" si="14"/>
        <v>0</v>
      </c>
      <c r="V74" s="104">
        <f t="shared" si="15"/>
        <v>3.49</v>
      </c>
      <c r="W74" s="104"/>
      <c r="Y74" s="30">
        <f t="shared" si="16"/>
        <v>46180</v>
      </c>
      <c r="Z74" s="30">
        <f t="shared" si="17"/>
        <v>46180</v>
      </c>
      <c r="AA74" s="30">
        <f t="shared" si="18"/>
        <v>46180</v>
      </c>
      <c r="AC74" s="21">
        <v>41</v>
      </c>
      <c r="AD74" s="30">
        <f t="shared" si="19"/>
        <v>46180</v>
      </c>
      <c r="AE74" s="30">
        <f t="shared" si="22"/>
        <v>46164</v>
      </c>
    </row>
    <row r="75" spans="2:31" x14ac:dyDescent="0.3">
      <c r="B75" s="42">
        <v>42</v>
      </c>
      <c r="C75" s="90">
        <f t="shared" si="20"/>
        <v>46210</v>
      </c>
      <c r="D75" s="91">
        <f t="shared" si="25"/>
        <v>2355.5799999999945</v>
      </c>
      <c r="E75" s="92">
        <f t="shared" si="23"/>
        <v>2041.1699999999944</v>
      </c>
      <c r="F75" s="93">
        <f t="shared" si="9"/>
        <v>314.41000000000003</v>
      </c>
      <c r="G75" s="93">
        <f t="shared" si="10"/>
        <v>59.65</v>
      </c>
      <c r="H75" s="93">
        <f t="shared" si="11"/>
        <v>2.99</v>
      </c>
      <c r="I75" s="93">
        <v>0</v>
      </c>
      <c r="J75" s="99">
        <f t="shared" si="12"/>
        <v>377.05</v>
      </c>
      <c r="K75" s="93">
        <f t="shared" si="26"/>
        <v>0</v>
      </c>
      <c r="L75" s="100">
        <f t="shared" si="13"/>
        <v>377.05</v>
      </c>
      <c r="N75" s="96">
        <f t="shared" si="27"/>
        <v>0.32418491999999999</v>
      </c>
      <c r="O75" s="102">
        <f t="shared" si="28"/>
        <v>1</v>
      </c>
      <c r="P75" s="98">
        <f t="shared" si="24"/>
        <v>1286</v>
      </c>
      <c r="R75" s="93">
        <f t="shared" si="21"/>
        <v>59.652842773289315</v>
      </c>
      <c r="S75" s="103">
        <f t="shared" si="14"/>
        <v>0</v>
      </c>
      <c r="V75" s="104">
        <f t="shared" si="15"/>
        <v>2.99</v>
      </c>
      <c r="W75" s="104"/>
      <c r="Y75" s="30">
        <f t="shared" si="16"/>
        <v>46210</v>
      </c>
      <c r="Z75" s="30">
        <f t="shared" si="17"/>
        <v>46210</v>
      </c>
      <c r="AA75" s="30">
        <f t="shared" si="18"/>
        <v>46210</v>
      </c>
      <c r="AC75" s="21">
        <v>42</v>
      </c>
      <c r="AD75" s="30">
        <f t="shared" si="19"/>
        <v>46210</v>
      </c>
      <c r="AE75" s="30">
        <f t="shared" si="22"/>
        <v>46194</v>
      </c>
    </row>
    <row r="76" spans="2:31" x14ac:dyDescent="0.3">
      <c r="B76" s="42">
        <v>43</v>
      </c>
      <c r="C76" s="90">
        <f t="shared" si="20"/>
        <v>46241</v>
      </c>
      <c r="D76" s="91">
        <f t="shared" si="25"/>
        <v>2041.1699999999944</v>
      </c>
      <c r="E76" s="92">
        <f t="shared" si="23"/>
        <v>1720.2399999999943</v>
      </c>
      <c r="F76" s="93">
        <f t="shared" si="9"/>
        <v>320.93</v>
      </c>
      <c r="G76" s="93">
        <f t="shared" si="10"/>
        <v>53.44</v>
      </c>
      <c r="H76" s="93">
        <f t="shared" si="11"/>
        <v>2.68</v>
      </c>
      <c r="I76" s="93">
        <v>0</v>
      </c>
      <c r="J76" s="99">
        <f t="shared" si="12"/>
        <v>377.05</v>
      </c>
      <c r="K76" s="93">
        <f t="shared" si="26"/>
        <v>0</v>
      </c>
      <c r="L76" s="100">
        <f t="shared" si="13"/>
        <v>377.05</v>
      </c>
      <c r="N76" s="96">
        <f t="shared" si="27"/>
        <v>0.31550054</v>
      </c>
      <c r="O76" s="102">
        <f t="shared" si="28"/>
        <v>1</v>
      </c>
      <c r="P76" s="98">
        <f t="shared" si="24"/>
        <v>1317</v>
      </c>
      <c r="R76" s="93">
        <f t="shared" si="21"/>
        <v>53.43609196715105</v>
      </c>
      <c r="S76" s="103">
        <f t="shared" si="14"/>
        <v>0</v>
      </c>
      <c r="V76" s="104">
        <f t="shared" si="15"/>
        <v>2.68</v>
      </c>
      <c r="W76" s="104"/>
      <c r="Y76" s="30">
        <f t="shared" si="16"/>
        <v>46241</v>
      </c>
      <c r="Z76" s="30">
        <f t="shared" si="17"/>
        <v>46241</v>
      </c>
      <c r="AA76" s="30">
        <f t="shared" si="18"/>
        <v>46241</v>
      </c>
      <c r="AC76" s="21">
        <v>43</v>
      </c>
      <c r="AD76" s="30">
        <f t="shared" si="19"/>
        <v>46241</v>
      </c>
      <c r="AE76" s="30">
        <f t="shared" si="22"/>
        <v>46224</v>
      </c>
    </row>
    <row r="77" spans="2:31" x14ac:dyDescent="0.3">
      <c r="B77" s="42">
        <v>44</v>
      </c>
      <c r="C77" s="90">
        <f t="shared" si="20"/>
        <v>46272</v>
      </c>
      <c r="D77" s="91">
        <f t="shared" si="25"/>
        <v>1720.2399999999943</v>
      </c>
      <c r="E77" s="92">
        <f t="shared" si="23"/>
        <v>1390.4799999999943</v>
      </c>
      <c r="F77" s="93">
        <f t="shared" si="9"/>
        <v>329.76</v>
      </c>
      <c r="G77" s="93">
        <f t="shared" si="10"/>
        <v>45.03</v>
      </c>
      <c r="H77" s="93">
        <f t="shared" si="11"/>
        <v>2.2599999999999998</v>
      </c>
      <c r="I77" s="93">
        <v>0</v>
      </c>
      <c r="J77" s="99">
        <f t="shared" si="12"/>
        <v>377.04999999999995</v>
      </c>
      <c r="K77" s="93">
        <f t="shared" si="26"/>
        <v>0</v>
      </c>
      <c r="L77" s="100">
        <f t="shared" si="13"/>
        <v>377.04999999999995</v>
      </c>
      <c r="N77" s="96">
        <f t="shared" si="27"/>
        <v>0.30704879000000002</v>
      </c>
      <c r="O77" s="102">
        <f t="shared" si="28"/>
        <v>1</v>
      </c>
      <c r="P77" s="98">
        <f t="shared" si="24"/>
        <v>1348</v>
      </c>
      <c r="R77" s="93">
        <f t="shared" si="21"/>
        <v>45.034417929702997</v>
      </c>
      <c r="S77" s="103">
        <f t="shared" si="14"/>
        <v>0</v>
      </c>
      <c r="V77" s="104">
        <f t="shared" si="15"/>
        <v>2.2599999999999998</v>
      </c>
      <c r="W77" s="104"/>
      <c r="Y77" s="30">
        <f t="shared" si="16"/>
        <v>46272</v>
      </c>
      <c r="Z77" s="30">
        <f t="shared" si="17"/>
        <v>46272</v>
      </c>
      <c r="AA77" s="30">
        <f t="shared" si="18"/>
        <v>46272</v>
      </c>
      <c r="AC77" s="21">
        <v>44</v>
      </c>
      <c r="AD77" s="30">
        <f t="shared" si="19"/>
        <v>46272</v>
      </c>
      <c r="AE77" s="30">
        <f t="shared" si="22"/>
        <v>46254</v>
      </c>
    </row>
    <row r="78" spans="2:31" x14ac:dyDescent="0.3">
      <c r="B78" s="42">
        <v>45</v>
      </c>
      <c r="C78" s="90">
        <f t="shared" si="20"/>
        <v>46302</v>
      </c>
      <c r="D78" s="91">
        <f t="shared" si="25"/>
        <v>1390.4799999999943</v>
      </c>
      <c r="E78" s="92">
        <f t="shared" si="23"/>
        <v>1050.4099999999944</v>
      </c>
      <c r="F78" s="93">
        <f t="shared" si="9"/>
        <v>340.07000000000005</v>
      </c>
      <c r="G78" s="93">
        <f t="shared" si="10"/>
        <v>35.21</v>
      </c>
      <c r="H78" s="93">
        <f t="shared" si="11"/>
        <v>1.77</v>
      </c>
      <c r="I78" s="93">
        <v>0</v>
      </c>
      <c r="J78" s="99">
        <f t="shared" si="12"/>
        <v>377.05</v>
      </c>
      <c r="K78" s="93">
        <f t="shared" si="26"/>
        <v>0</v>
      </c>
      <c r="L78" s="100">
        <f t="shared" si="13"/>
        <v>377.05</v>
      </c>
      <c r="N78" s="96">
        <f t="shared" si="27"/>
        <v>0.29908531999999999</v>
      </c>
      <c r="O78" s="102">
        <f t="shared" si="28"/>
        <v>1</v>
      </c>
      <c r="P78" s="98">
        <f t="shared" si="24"/>
        <v>1378</v>
      </c>
      <c r="R78" s="93">
        <f t="shared" si="21"/>
        <v>35.212595122816111</v>
      </c>
      <c r="S78" s="103">
        <f t="shared" si="14"/>
        <v>0</v>
      </c>
      <c r="V78" s="104">
        <f t="shared" si="15"/>
        <v>1.77</v>
      </c>
      <c r="W78" s="104"/>
      <c r="Y78" s="30">
        <f t="shared" si="16"/>
        <v>46302</v>
      </c>
      <c r="Z78" s="30">
        <f t="shared" si="17"/>
        <v>46302</v>
      </c>
      <c r="AA78" s="30">
        <f t="shared" si="18"/>
        <v>46302</v>
      </c>
      <c r="AC78" s="21">
        <v>45</v>
      </c>
      <c r="AD78" s="30">
        <f t="shared" si="19"/>
        <v>46302</v>
      </c>
      <c r="AE78" s="30">
        <f t="shared" si="22"/>
        <v>46284</v>
      </c>
    </row>
    <row r="79" spans="2:31" x14ac:dyDescent="0.3">
      <c r="B79" s="42">
        <v>46</v>
      </c>
      <c r="C79" s="90">
        <f t="shared" si="20"/>
        <v>46333</v>
      </c>
      <c r="D79" s="91">
        <f t="shared" si="25"/>
        <v>1050.4099999999944</v>
      </c>
      <c r="E79" s="92">
        <f t="shared" si="23"/>
        <v>702.23999999999432</v>
      </c>
      <c r="F79" s="93">
        <f t="shared" si="9"/>
        <v>348.17</v>
      </c>
      <c r="G79" s="93">
        <f t="shared" si="10"/>
        <v>27.5</v>
      </c>
      <c r="H79" s="93">
        <f t="shared" si="11"/>
        <v>1.38</v>
      </c>
      <c r="I79" s="93">
        <v>0</v>
      </c>
      <c r="J79" s="99">
        <f t="shared" si="12"/>
        <v>377.05</v>
      </c>
      <c r="K79" s="93">
        <f t="shared" si="26"/>
        <v>0</v>
      </c>
      <c r="L79" s="100">
        <f t="shared" si="13"/>
        <v>377.05</v>
      </c>
      <c r="N79" s="96">
        <f t="shared" si="27"/>
        <v>0.29107330999999997</v>
      </c>
      <c r="O79" s="102">
        <f t="shared" si="28"/>
        <v>1</v>
      </c>
      <c r="P79" s="98">
        <f t="shared" si="24"/>
        <v>1409</v>
      </c>
      <c r="R79" s="93">
        <f t="shared" si="21"/>
        <v>27.498839079162924</v>
      </c>
      <c r="S79" s="103">
        <f t="shared" si="14"/>
        <v>0</v>
      </c>
      <c r="V79" s="104">
        <f t="shared" si="15"/>
        <v>1.38</v>
      </c>
      <c r="W79" s="104"/>
      <c r="Y79" s="30">
        <f t="shared" si="16"/>
        <v>46333</v>
      </c>
      <c r="Z79" s="30">
        <f t="shared" si="17"/>
        <v>46333</v>
      </c>
      <c r="AA79" s="30">
        <f t="shared" si="18"/>
        <v>46333</v>
      </c>
      <c r="AC79" s="21">
        <v>46</v>
      </c>
      <c r="AD79" s="30">
        <f t="shared" si="19"/>
        <v>46333</v>
      </c>
      <c r="AE79" s="30">
        <f t="shared" si="22"/>
        <v>46314</v>
      </c>
    </row>
    <row r="80" spans="2:31" x14ac:dyDescent="0.3">
      <c r="B80" s="42">
        <v>47</v>
      </c>
      <c r="C80" s="90">
        <f t="shared" si="20"/>
        <v>46363</v>
      </c>
      <c r="D80" s="91">
        <f t="shared" si="25"/>
        <v>702.23999999999432</v>
      </c>
      <c r="E80" s="92">
        <f t="shared" si="23"/>
        <v>343.85999999999433</v>
      </c>
      <c r="F80" s="93">
        <f t="shared" si="9"/>
        <v>358.38</v>
      </c>
      <c r="G80" s="93">
        <f t="shared" si="10"/>
        <v>17.78</v>
      </c>
      <c r="H80" s="93">
        <f t="shared" si="11"/>
        <v>0.89</v>
      </c>
      <c r="I80" s="93">
        <v>0</v>
      </c>
      <c r="J80" s="99">
        <f t="shared" si="12"/>
        <v>377.04999999999995</v>
      </c>
      <c r="K80" s="93">
        <f t="shared" si="26"/>
        <v>0</v>
      </c>
      <c r="L80" s="100">
        <f t="shared" si="13"/>
        <v>377.04999999999995</v>
      </c>
      <c r="N80" s="96">
        <f t="shared" si="27"/>
        <v>0.28352417000000002</v>
      </c>
      <c r="O80" s="102">
        <f t="shared" si="28"/>
        <v>1</v>
      </c>
      <c r="P80" s="98">
        <f t="shared" si="24"/>
        <v>1439</v>
      </c>
      <c r="R80" s="93">
        <f t="shared" si="21"/>
        <v>17.78356596214709</v>
      </c>
      <c r="S80" s="103">
        <f t="shared" si="14"/>
        <v>0</v>
      </c>
      <c r="V80" s="104">
        <f t="shared" si="15"/>
        <v>0.89</v>
      </c>
      <c r="W80" s="104"/>
      <c r="Y80" s="30">
        <f t="shared" si="16"/>
        <v>46363</v>
      </c>
      <c r="Z80" s="30">
        <f t="shared" si="17"/>
        <v>46363</v>
      </c>
      <c r="AA80" s="30">
        <f t="shared" si="18"/>
        <v>46363</v>
      </c>
      <c r="AC80" s="21">
        <v>47</v>
      </c>
      <c r="AD80" s="30">
        <f t="shared" si="19"/>
        <v>46363</v>
      </c>
      <c r="AE80" s="30">
        <f t="shared" si="22"/>
        <v>46344</v>
      </c>
    </row>
    <row r="81" spans="2:31" ht="13.5" thickBot="1" x14ac:dyDescent="0.35">
      <c r="B81" s="42">
        <v>48</v>
      </c>
      <c r="C81" s="90">
        <f t="shared" si="20"/>
        <v>46394</v>
      </c>
      <c r="D81" s="91">
        <f t="shared" si="25"/>
        <v>343.85999999999433</v>
      </c>
      <c r="E81" s="92">
        <f t="shared" si="23"/>
        <v>0</v>
      </c>
      <c r="F81" s="93">
        <f t="shared" si="9"/>
        <v>343.85999999999433</v>
      </c>
      <c r="G81" s="93">
        <f t="shared" si="10"/>
        <v>9</v>
      </c>
      <c r="H81" s="93">
        <f t="shared" si="11"/>
        <v>0.45</v>
      </c>
      <c r="I81" s="93">
        <v>0</v>
      </c>
      <c r="J81" s="99">
        <f t="shared" si="12"/>
        <v>353.30999999999432</v>
      </c>
      <c r="K81" s="93">
        <f t="shared" si="26"/>
        <v>0</v>
      </c>
      <c r="L81" s="100">
        <f t="shared" si="13"/>
        <v>353.30999999999432</v>
      </c>
      <c r="N81" s="96">
        <f t="shared" si="27"/>
        <v>0.27592902000000002</v>
      </c>
      <c r="O81" s="102">
        <f t="shared" si="28"/>
        <v>1</v>
      </c>
      <c r="P81" s="98">
        <f t="shared" si="24"/>
        <v>1470</v>
      </c>
      <c r="R81" s="93">
        <f t="shared" si="21"/>
        <v>9.0019619060755875</v>
      </c>
      <c r="S81" s="103">
        <f t="shared" si="14"/>
        <v>0</v>
      </c>
      <c r="V81" s="104">
        <f t="shared" si="15"/>
        <v>0.45</v>
      </c>
      <c r="W81" s="104"/>
      <c r="Y81" s="30">
        <f t="shared" si="16"/>
        <v>46394</v>
      </c>
      <c r="Z81" s="30">
        <f t="shared" si="17"/>
        <v>46394</v>
      </c>
      <c r="AA81" s="30">
        <f t="shared" si="18"/>
        <v>46394</v>
      </c>
      <c r="AC81" s="21">
        <v>48</v>
      </c>
      <c r="AD81" s="30">
        <f t="shared" si="19"/>
        <v>46394</v>
      </c>
      <c r="AE81" s="30">
        <f t="shared" si="22"/>
        <v>46374</v>
      </c>
    </row>
    <row r="82" spans="2:31" ht="13.5" hidden="1" thickBot="1" x14ac:dyDescent="0.35">
      <c r="B82" s="42">
        <v>49</v>
      </c>
      <c r="C82" s="90">
        <f t="shared" si="20"/>
        <v>0</v>
      </c>
      <c r="D82" s="93">
        <f t="shared" si="25"/>
        <v>0</v>
      </c>
      <c r="E82" s="93">
        <f t="shared" si="23"/>
        <v>0</v>
      </c>
      <c r="F82" s="93">
        <f t="shared" si="9"/>
        <v>0</v>
      </c>
      <c r="G82" s="93">
        <f t="shared" si="10"/>
        <v>0</v>
      </c>
      <c r="H82" s="93">
        <f t="shared" si="11"/>
        <v>0</v>
      </c>
      <c r="I82" s="93">
        <v>0</v>
      </c>
      <c r="J82" s="99">
        <f t="shared" si="12"/>
        <v>0</v>
      </c>
      <c r="K82" s="93">
        <f t="shared" si="26"/>
        <v>0</v>
      </c>
      <c r="L82" s="100">
        <f t="shared" si="13"/>
        <v>0</v>
      </c>
      <c r="N82" s="96">
        <f t="shared" si="27"/>
        <v>0</v>
      </c>
      <c r="O82" s="102">
        <f t="shared" si="28"/>
        <v>1</v>
      </c>
      <c r="P82" s="98">
        <f t="shared" si="24"/>
        <v>-44924</v>
      </c>
      <c r="R82" s="93">
        <f t="shared" si="21"/>
        <v>0</v>
      </c>
      <c r="S82" s="103">
        <f t="shared" si="14"/>
        <v>0</v>
      </c>
      <c r="AC82" s="42">
        <v>49</v>
      </c>
    </row>
    <row r="83" spans="2:31" ht="13.5" hidden="1" thickBot="1" x14ac:dyDescent="0.35">
      <c r="B83" s="42">
        <v>50</v>
      </c>
      <c r="C83" s="90">
        <f t="shared" si="20"/>
        <v>0</v>
      </c>
      <c r="D83" s="93">
        <f t="shared" si="25"/>
        <v>0</v>
      </c>
      <c r="E83" s="93">
        <f t="shared" si="23"/>
        <v>0</v>
      </c>
      <c r="F83" s="93">
        <f t="shared" si="9"/>
        <v>0</v>
      </c>
      <c r="G83" s="93">
        <f t="shared" si="10"/>
        <v>0</v>
      </c>
      <c r="H83" s="93">
        <f t="shared" si="11"/>
        <v>0</v>
      </c>
      <c r="I83" s="93">
        <v>0</v>
      </c>
      <c r="J83" s="99">
        <f t="shared" si="12"/>
        <v>0</v>
      </c>
      <c r="K83" s="93">
        <f t="shared" si="26"/>
        <v>0</v>
      </c>
      <c r="L83" s="100">
        <f t="shared" si="13"/>
        <v>0</v>
      </c>
      <c r="N83" s="96">
        <f t="shared" si="27"/>
        <v>0</v>
      </c>
      <c r="O83" s="102">
        <f t="shared" si="28"/>
        <v>1</v>
      </c>
      <c r="P83" s="98">
        <f t="shared" si="24"/>
        <v>-44924</v>
      </c>
      <c r="R83" s="93">
        <f t="shared" si="21"/>
        <v>0</v>
      </c>
      <c r="S83" s="103">
        <f t="shared" si="14"/>
        <v>0</v>
      </c>
      <c r="AC83" s="42">
        <v>50</v>
      </c>
    </row>
    <row r="84" spans="2:31" ht="13.5" hidden="1" thickBot="1" x14ac:dyDescent="0.35">
      <c r="B84" s="42">
        <v>51</v>
      </c>
      <c r="C84" s="90">
        <f t="shared" si="20"/>
        <v>0</v>
      </c>
      <c r="D84" s="93">
        <f t="shared" si="25"/>
        <v>0</v>
      </c>
      <c r="E84" s="93">
        <f t="shared" si="23"/>
        <v>0</v>
      </c>
      <c r="F84" s="93">
        <f t="shared" si="9"/>
        <v>0</v>
      </c>
      <c r="G84" s="93">
        <f t="shared" si="10"/>
        <v>0</v>
      </c>
      <c r="H84" s="93">
        <f t="shared" si="11"/>
        <v>0</v>
      </c>
      <c r="I84" s="93">
        <v>0</v>
      </c>
      <c r="J84" s="99">
        <f t="shared" si="12"/>
        <v>0</v>
      </c>
      <c r="K84" s="93">
        <f t="shared" si="26"/>
        <v>0</v>
      </c>
      <c r="L84" s="100">
        <f t="shared" si="13"/>
        <v>0</v>
      </c>
      <c r="N84" s="96">
        <f t="shared" si="27"/>
        <v>0</v>
      </c>
      <c r="O84" s="102">
        <f t="shared" si="28"/>
        <v>1</v>
      </c>
      <c r="P84" s="98">
        <f t="shared" si="24"/>
        <v>-44924</v>
      </c>
      <c r="R84" s="93">
        <f t="shared" si="21"/>
        <v>0</v>
      </c>
      <c r="S84" s="103">
        <f t="shared" si="14"/>
        <v>0</v>
      </c>
      <c r="AC84" s="42">
        <v>51</v>
      </c>
    </row>
    <row r="85" spans="2:31" ht="13.5" hidden="1" thickBot="1" x14ac:dyDescent="0.35">
      <c r="B85" s="42">
        <v>52</v>
      </c>
      <c r="C85" s="90">
        <f t="shared" si="20"/>
        <v>0</v>
      </c>
      <c r="D85" s="93">
        <f t="shared" si="25"/>
        <v>0</v>
      </c>
      <c r="E85" s="93">
        <f t="shared" si="23"/>
        <v>0</v>
      </c>
      <c r="F85" s="93">
        <f t="shared" si="9"/>
        <v>0</v>
      </c>
      <c r="G85" s="93">
        <f t="shared" si="10"/>
        <v>0</v>
      </c>
      <c r="H85" s="93">
        <f t="shared" si="11"/>
        <v>0</v>
      </c>
      <c r="I85" s="93">
        <v>0</v>
      </c>
      <c r="J85" s="99">
        <f t="shared" si="12"/>
        <v>0</v>
      </c>
      <c r="K85" s="93">
        <f t="shared" si="26"/>
        <v>0</v>
      </c>
      <c r="L85" s="100">
        <f t="shared" si="13"/>
        <v>0</v>
      </c>
      <c r="N85" s="96">
        <f t="shared" si="27"/>
        <v>0</v>
      </c>
      <c r="O85" s="102">
        <f t="shared" si="28"/>
        <v>1</v>
      </c>
      <c r="P85" s="98">
        <f t="shared" si="24"/>
        <v>-44924</v>
      </c>
      <c r="R85" s="93">
        <f t="shared" si="21"/>
        <v>0</v>
      </c>
      <c r="S85" s="103">
        <f t="shared" si="14"/>
        <v>0</v>
      </c>
      <c r="AC85" s="42">
        <v>52</v>
      </c>
    </row>
    <row r="86" spans="2:31" ht="13.5" hidden="1" thickBot="1" x14ac:dyDescent="0.35">
      <c r="B86" s="42">
        <v>53</v>
      </c>
      <c r="C86" s="90">
        <f t="shared" si="20"/>
        <v>0</v>
      </c>
      <c r="D86" s="93">
        <f t="shared" si="25"/>
        <v>0</v>
      </c>
      <c r="E86" s="93">
        <f t="shared" si="23"/>
        <v>0</v>
      </c>
      <c r="F86" s="93">
        <f t="shared" si="9"/>
        <v>0</v>
      </c>
      <c r="G86" s="93">
        <f t="shared" si="10"/>
        <v>0</v>
      </c>
      <c r="H86" s="93">
        <f t="shared" si="11"/>
        <v>0</v>
      </c>
      <c r="I86" s="93">
        <v>0</v>
      </c>
      <c r="J86" s="99">
        <f t="shared" si="12"/>
        <v>0</v>
      </c>
      <c r="K86" s="93">
        <f t="shared" si="26"/>
        <v>0</v>
      </c>
      <c r="L86" s="100">
        <f t="shared" si="13"/>
        <v>0</v>
      </c>
      <c r="N86" s="96">
        <f t="shared" si="27"/>
        <v>0</v>
      </c>
      <c r="O86" s="102">
        <f t="shared" si="28"/>
        <v>1</v>
      </c>
      <c r="P86" s="98">
        <f t="shared" si="24"/>
        <v>-44924</v>
      </c>
      <c r="R86" s="93">
        <f t="shared" si="21"/>
        <v>0</v>
      </c>
      <c r="S86" s="103">
        <f t="shared" si="14"/>
        <v>0</v>
      </c>
      <c r="AC86" s="42">
        <v>53</v>
      </c>
    </row>
    <row r="87" spans="2:31" ht="13.5" hidden="1" thickBot="1" x14ac:dyDescent="0.35">
      <c r="B87" s="42">
        <v>54</v>
      </c>
      <c r="C87" s="90">
        <f t="shared" si="20"/>
        <v>0</v>
      </c>
      <c r="D87" s="93">
        <f t="shared" si="25"/>
        <v>0</v>
      </c>
      <c r="E87" s="93">
        <f t="shared" si="23"/>
        <v>0</v>
      </c>
      <c r="F87" s="93">
        <f t="shared" si="9"/>
        <v>0</v>
      </c>
      <c r="G87" s="93">
        <f t="shared" si="10"/>
        <v>0</v>
      </c>
      <c r="H87" s="93">
        <f t="shared" si="11"/>
        <v>0</v>
      </c>
      <c r="I87" s="93">
        <v>0</v>
      </c>
      <c r="J87" s="99">
        <f t="shared" si="12"/>
        <v>0</v>
      </c>
      <c r="K87" s="93">
        <f t="shared" si="26"/>
        <v>0</v>
      </c>
      <c r="L87" s="100">
        <f t="shared" si="13"/>
        <v>0</v>
      </c>
      <c r="N87" s="96">
        <f t="shared" si="27"/>
        <v>0</v>
      </c>
      <c r="O87" s="102">
        <f t="shared" si="28"/>
        <v>1</v>
      </c>
      <c r="P87" s="98">
        <f t="shared" si="24"/>
        <v>-44924</v>
      </c>
      <c r="R87" s="93">
        <f t="shared" si="21"/>
        <v>0</v>
      </c>
      <c r="S87" s="103">
        <f t="shared" si="14"/>
        <v>0</v>
      </c>
      <c r="AC87" s="42">
        <v>54</v>
      </c>
    </row>
    <row r="88" spans="2:31" ht="13.5" hidden="1" thickBot="1" x14ac:dyDescent="0.35">
      <c r="B88" s="42">
        <v>55</v>
      </c>
      <c r="C88" s="90">
        <f t="shared" si="20"/>
        <v>0</v>
      </c>
      <c r="D88" s="93">
        <f t="shared" si="25"/>
        <v>0</v>
      </c>
      <c r="E88" s="93">
        <f t="shared" si="23"/>
        <v>0</v>
      </c>
      <c r="F88" s="93">
        <f t="shared" si="9"/>
        <v>0</v>
      </c>
      <c r="G88" s="93">
        <f t="shared" si="10"/>
        <v>0</v>
      </c>
      <c r="H88" s="93">
        <f t="shared" si="11"/>
        <v>0</v>
      </c>
      <c r="I88" s="93">
        <v>0</v>
      </c>
      <c r="J88" s="99">
        <f t="shared" si="12"/>
        <v>0</v>
      </c>
      <c r="K88" s="93">
        <f t="shared" si="26"/>
        <v>0</v>
      </c>
      <c r="L88" s="100">
        <f t="shared" si="13"/>
        <v>0</v>
      </c>
      <c r="N88" s="96">
        <f t="shared" si="27"/>
        <v>0</v>
      </c>
      <c r="O88" s="102">
        <f t="shared" si="28"/>
        <v>1</v>
      </c>
      <c r="P88" s="98">
        <f t="shared" si="24"/>
        <v>-44924</v>
      </c>
      <c r="R88" s="93">
        <f t="shared" si="21"/>
        <v>0</v>
      </c>
      <c r="S88" s="103">
        <f t="shared" si="14"/>
        <v>0</v>
      </c>
      <c r="AC88" s="42">
        <v>55</v>
      </c>
    </row>
    <row r="89" spans="2:31" ht="13.5" hidden="1" thickBot="1" x14ac:dyDescent="0.35">
      <c r="B89" s="42">
        <v>56</v>
      </c>
      <c r="C89" s="90">
        <f t="shared" si="20"/>
        <v>0</v>
      </c>
      <c r="D89" s="93">
        <f t="shared" si="25"/>
        <v>0</v>
      </c>
      <c r="E89" s="93">
        <f t="shared" si="23"/>
        <v>0</v>
      </c>
      <c r="F89" s="93">
        <f t="shared" si="9"/>
        <v>0</v>
      </c>
      <c r="G89" s="93">
        <f t="shared" si="10"/>
        <v>0</v>
      </c>
      <c r="H89" s="93">
        <f t="shared" si="11"/>
        <v>0</v>
      </c>
      <c r="I89" s="93">
        <v>0</v>
      </c>
      <c r="J89" s="99">
        <f t="shared" si="12"/>
        <v>0</v>
      </c>
      <c r="K89" s="93">
        <f t="shared" si="26"/>
        <v>0</v>
      </c>
      <c r="L89" s="100">
        <f t="shared" si="13"/>
        <v>0</v>
      </c>
      <c r="N89" s="96">
        <f t="shared" si="27"/>
        <v>0</v>
      </c>
      <c r="O89" s="102">
        <f t="shared" si="28"/>
        <v>1</v>
      </c>
      <c r="P89" s="98">
        <f t="shared" si="24"/>
        <v>-44924</v>
      </c>
      <c r="R89" s="93">
        <f t="shared" si="21"/>
        <v>0</v>
      </c>
      <c r="S89" s="103">
        <f t="shared" si="14"/>
        <v>0</v>
      </c>
      <c r="AC89" s="42">
        <v>56</v>
      </c>
    </row>
    <row r="90" spans="2:31" ht="13.5" hidden="1" thickBot="1" x14ac:dyDescent="0.35">
      <c r="B90" s="42">
        <v>57</v>
      </c>
      <c r="C90" s="90">
        <f t="shared" si="20"/>
        <v>0</v>
      </c>
      <c r="D90" s="93">
        <f t="shared" si="25"/>
        <v>0</v>
      </c>
      <c r="E90" s="93">
        <f t="shared" si="23"/>
        <v>0</v>
      </c>
      <c r="F90" s="93">
        <f t="shared" si="9"/>
        <v>0</v>
      </c>
      <c r="G90" s="93">
        <f t="shared" si="10"/>
        <v>0</v>
      </c>
      <c r="H90" s="93">
        <f t="shared" si="11"/>
        <v>0</v>
      </c>
      <c r="I90" s="93">
        <v>0</v>
      </c>
      <c r="J90" s="99">
        <f t="shared" si="12"/>
        <v>0</v>
      </c>
      <c r="K90" s="93">
        <f t="shared" si="26"/>
        <v>0</v>
      </c>
      <c r="L90" s="100">
        <f t="shared" si="13"/>
        <v>0</v>
      </c>
      <c r="N90" s="96">
        <f t="shared" si="27"/>
        <v>0</v>
      </c>
      <c r="O90" s="102">
        <f t="shared" si="28"/>
        <v>1</v>
      </c>
      <c r="P90" s="98">
        <f t="shared" si="24"/>
        <v>-44924</v>
      </c>
      <c r="R90" s="93">
        <f t="shared" si="21"/>
        <v>0</v>
      </c>
      <c r="S90" s="103">
        <f t="shared" si="14"/>
        <v>0</v>
      </c>
      <c r="AC90" s="42">
        <v>57</v>
      </c>
    </row>
    <row r="91" spans="2:31" ht="13.5" hidden="1" thickBot="1" x14ac:dyDescent="0.35">
      <c r="B91" s="42">
        <v>58</v>
      </c>
      <c r="C91" s="90">
        <f t="shared" si="20"/>
        <v>0</v>
      </c>
      <c r="D91" s="93">
        <f t="shared" si="25"/>
        <v>0</v>
      </c>
      <c r="E91" s="93">
        <f t="shared" si="23"/>
        <v>0</v>
      </c>
      <c r="F91" s="93">
        <f t="shared" si="9"/>
        <v>0</v>
      </c>
      <c r="G91" s="93">
        <f t="shared" si="10"/>
        <v>0</v>
      </c>
      <c r="H91" s="93">
        <f t="shared" si="11"/>
        <v>0</v>
      </c>
      <c r="I91" s="93">
        <v>0</v>
      </c>
      <c r="J91" s="99">
        <f t="shared" si="12"/>
        <v>0</v>
      </c>
      <c r="K91" s="93">
        <f t="shared" si="26"/>
        <v>0</v>
      </c>
      <c r="L91" s="100">
        <f t="shared" si="13"/>
        <v>0</v>
      </c>
      <c r="N91" s="96">
        <f t="shared" si="27"/>
        <v>0</v>
      </c>
      <c r="O91" s="102">
        <f t="shared" si="28"/>
        <v>1</v>
      </c>
      <c r="P91" s="98">
        <f t="shared" si="24"/>
        <v>-44924</v>
      </c>
      <c r="R91" s="93">
        <f t="shared" si="21"/>
        <v>0</v>
      </c>
      <c r="S91" s="103">
        <f t="shared" si="14"/>
        <v>0</v>
      </c>
      <c r="AC91" s="42">
        <v>58</v>
      </c>
    </row>
    <row r="92" spans="2:31" ht="13.5" hidden="1" thickBot="1" x14ac:dyDescent="0.35">
      <c r="B92" s="42">
        <v>59</v>
      </c>
      <c r="C92" s="90">
        <f t="shared" si="20"/>
        <v>0</v>
      </c>
      <c r="D92" s="93">
        <f t="shared" si="25"/>
        <v>0</v>
      </c>
      <c r="E92" s="93">
        <f t="shared" si="23"/>
        <v>0</v>
      </c>
      <c r="F92" s="93">
        <f t="shared" si="9"/>
        <v>0</v>
      </c>
      <c r="G92" s="93">
        <f t="shared" si="10"/>
        <v>0</v>
      </c>
      <c r="H92" s="93">
        <f t="shared" si="11"/>
        <v>0</v>
      </c>
      <c r="I92" s="93">
        <v>0</v>
      </c>
      <c r="J92" s="99">
        <f t="shared" si="12"/>
        <v>0</v>
      </c>
      <c r="K92" s="93">
        <f t="shared" si="26"/>
        <v>0</v>
      </c>
      <c r="L92" s="100">
        <f t="shared" si="13"/>
        <v>0</v>
      </c>
      <c r="N92" s="96">
        <f t="shared" si="27"/>
        <v>0</v>
      </c>
      <c r="O92" s="102">
        <f t="shared" si="28"/>
        <v>1</v>
      </c>
      <c r="P92" s="98">
        <f t="shared" si="24"/>
        <v>-44924</v>
      </c>
      <c r="R92" s="93">
        <f t="shared" si="21"/>
        <v>0</v>
      </c>
      <c r="S92" s="103">
        <f t="shared" si="14"/>
        <v>0</v>
      </c>
      <c r="AC92" s="42">
        <v>59</v>
      </c>
    </row>
    <row r="93" spans="2:31" ht="13.5" hidden="1" thickBot="1" x14ac:dyDescent="0.35">
      <c r="B93" s="42">
        <v>60</v>
      </c>
      <c r="C93" s="90">
        <f t="shared" si="20"/>
        <v>0</v>
      </c>
      <c r="D93" s="93">
        <f t="shared" si="25"/>
        <v>0</v>
      </c>
      <c r="E93" s="93">
        <f t="shared" si="23"/>
        <v>0</v>
      </c>
      <c r="F93" s="93">
        <f t="shared" si="9"/>
        <v>0</v>
      </c>
      <c r="G93" s="93">
        <f t="shared" si="10"/>
        <v>0</v>
      </c>
      <c r="H93" s="93">
        <f t="shared" si="11"/>
        <v>0</v>
      </c>
      <c r="I93" s="93">
        <v>0</v>
      </c>
      <c r="J93" s="99">
        <f t="shared" si="12"/>
        <v>0</v>
      </c>
      <c r="K93" s="93">
        <f t="shared" si="26"/>
        <v>0</v>
      </c>
      <c r="L93" s="100">
        <f t="shared" si="13"/>
        <v>0</v>
      </c>
      <c r="N93" s="96">
        <f t="shared" si="27"/>
        <v>0</v>
      </c>
      <c r="O93" s="102">
        <f t="shared" si="28"/>
        <v>1</v>
      </c>
      <c r="P93" s="98">
        <f t="shared" si="24"/>
        <v>-44924</v>
      </c>
      <c r="R93" s="93">
        <f t="shared" si="21"/>
        <v>0</v>
      </c>
      <c r="S93" s="103">
        <f t="shared" si="14"/>
        <v>0</v>
      </c>
      <c r="AC93" s="42">
        <v>60</v>
      </c>
    </row>
    <row r="94" spans="2:31" ht="13.5" hidden="1" thickBot="1" x14ac:dyDescent="0.35">
      <c r="B94" s="42">
        <v>61</v>
      </c>
      <c r="C94" s="90">
        <f t="shared" si="20"/>
        <v>0</v>
      </c>
      <c r="D94" s="93">
        <f t="shared" si="25"/>
        <v>0</v>
      </c>
      <c r="E94" s="93">
        <f t="shared" si="23"/>
        <v>0</v>
      </c>
      <c r="F94" s="93">
        <f t="shared" si="9"/>
        <v>0</v>
      </c>
      <c r="G94" s="93">
        <f t="shared" si="10"/>
        <v>0</v>
      </c>
      <c r="H94" s="93">
        <f t="shared" si="11"/>
        <v>0</v>
      </c>
      <c r="I94" s="93">
        <v>0</v>
      </c>
      <c r="J94" s="99">
        <f t="shared" si="12"/>
        <v>0</v>
      </c>
      <c r="K94" s="93">
        <f t="shared" si="26"/>
        <v>0</v>
      </c>
      <c r="L94" s="100">
        <f t="shared" si="13"/>
        <v>0</v>
      </c>
      <c r="N94" s="96">
        <f t="shared" si="27"/>
        <v>0</v>
      </c>
      <c r="O94" s="102">
        <f t="shared" si="28"/>
        <v>1</v>
      </c>
      <c r="P94" s="98">
        <f t="shared" si="24"/>
        <v>-44924</v>
      </c>
      <c r="R94" s="93">
        <f t="shared" si="21"/>
        <v>0</v>
      </c>
      <c r="S94" s="103">
        <f t="shared" si="14"/>
        <v>0</v>
      </c>
      <c r="AC94" s="42">
        <v>61</v>
      </c>
    </row>
    <row r="95" spans="2:31" ht="13.5" hidden="1" thickBot="1" x14ac:dyDescent="0.35">
      <c r="B95" s="42">
        <v>62</v>
      </c>
      <c r="C95" s="90">
        <f t="shared" si="20"/>
        <v>0</v>
      </c>
      <c r="D95" s="93">
        <f t="shared" si="25"/>
        <v>0</v>
      </c>
      <c r="E95" s="93">
        <f t="shared" si="23"/>
        <v>0</v>
      </c>
      <c r="F95" s="93">
        <f t="shared" si="9"/>
        <v>0</v>
      </c>
      <c r="G95" s="93">
        <f t="shared" si="10"/>
        <v>0</v>
      </c>
      <c r="H95" s="93">
        <f t="shared" si="11"/>
        <v>0</v>
      </c>
      <c r="I95" s="93">
        <v>0</v>
      </c>
      <c r="J95" s="99">
        <f t="shared" si="12"/>
        <v>0</v>
      </c>
      <c r="K95" s="93">
        <f t="shared" si="26"/>
        <v>0</v>
      </c>
      <c r="L95" s="100">
        <f t="shared" si="13"/>
        <v>0</v>
      </c>
      <c r="N95" s="96">
        <f t="shared" si="27"/>
        <v>0</v>
      </c>
      <c r="O95" s="102">
        <f t="shared" si="28"/>
        <v>1</v>
      </c>
      <c r="P95" s="98">
        <f t="shared" si="24"/>
        <v>-44924</v>
      </c>
      <c r="R95" s="93">
        <f t="shared" si="21"/>
        <v>0</v>
      </c>
      <c r="S95" s="103">
        <f t="shared" si="14"/>
        <v>0</v>
      </c>
      <c r="AC95" s="42">
        <v>62</v>
      </c>
    </row>
    <row r="96" spans="2:31" ht="13.5" hidden="1" thickBot="1" x14ac:dyDescent="0.35">
      <c r="B96" s="42">
        <v>63</v>
      </c>
      <c r="C96" s="90">
        <f t="shared" si="20"/>
        <v>0</v>
      </c>
      <c r="D96" s="93">
        <f t="shared" si="25"/>
        <v>0</v>
      </c>
      <c r="E96" s="93">
        <f t="shared" si="23"/>
        <v>0</v>
      </c>
      <c r="F96" s="93">
        <f t="shared" si="9"/>
        <v>0</v>
      </c>
      <c r="G96" s="93">
        <f t="shared" si="10"/>
        <v>0</v>
      </c>
      <c r="H96" s="93">
        <f t="shared" si="11"/>
        <v>0</v>
      </c>
      <c r="I96" s="93">
        <v>0</v>
      </c>
      <c r="J96" s="99">
        <f t="shared" si="12"/>
        <v>0</v>
      </c>
      <c r="K96" s="93">
        <f t="shared" si="26"/>
        <v>0</v>
      </c>
      <c r="L96" s="100">
        <f t="shared" si="13"/>
        <v>0</v>
      </c>
      <c r="N96" s="96">
        <f t="shared" si="27"/>
        <v>0</v>
      </c>
      <c r="O96" s="102">
        <f t="shared" si="28"/>
        <v>1</v>
      </c>
      <c r="P96" s="98">
        <f t="shared" si="24"/>
        <v>-44924</v>
      </c>
      <c r="R96" s="93">
        <f t="shared" si="21"/>
        <v>0</v>
      </c>
      <c r="S96" s="103">
        <f t="shared" si="14"/>
        <v>0</v>
      </c>
      <c r="AC96" s="42">
        <v>63</v>
      </c>
    </row>
    <row r="97" spans="1:31" ht="13.5" hidden="1" thickBot="1" x14ac:dyDescent="0.35">
      <c r="B97" s="42">
        <v>64</v>
      </c>
      <c r="C97" s="90">
        <f t="shared" si="20"/>
        <v>0</v>
      </c>
      <c r="D97" s="93">
        <f t="shared" si="25"/>
        <v>0</v>
      </c>
      <c r="E97" s="93">
        <f t="shared" ref="E97:E105" si="29">+D97-F97</f>
        <v>0</v>
      </c>
      <c r="F97" s="93">
        <f t="shared" si="9"/>
        <v>0</v>
      </c>
      <c r="G97" s="93">
        <f t="shared" si="10"/>
        <v>0</v>
      </c>
      <c r="H97" s="93">
        <f t="shared" si="11"/>
        <v>0</v>
      </c>
      <c r="I97" s="93">
        <v>0</v>
      </c>
      <c r="J97" s="99">
        <f t="shared" si="12"/>
        <v>0</v>
      </c>
      <c r="K97" s="93">
        <f t="shared" si="26"/>
        <v>0</v>
      </c>
      <c r="L97" s="100">
        <f t="shared" si="13"/>
        <v>0</v>
      </c>
      <c r="N97" s="96">
        <f t="shared" si="27"/>
        <v>0</v>
      </c>
      <c r="O97" s="102">
        <f t="shared" si="28"/>
        <v>1</v>
      </c>
      <c r="P97" s="98">
        <f t="shared" ref="P97:P105" si="30">C97-$C$33</f>
        <v>-44924</v>
      </c>
      <c r="R97" s="93">
        <f t="shared" si="21"/>
        <v>0</v>
      </c>
      <c r="S97" s="103">
        <f t="shared" si="14"/>
        <v>0</v>
      </c>
      <c r="AC97" s="42">
        <v>64</v>
      </c>
    </row>
    <row r="98" spans="1:31" ht="13.5" hidden="1" thickBot="1" x14ac:dyDescent="0.35">
      <c r="B98" s="42">
        <v>65</v>
      </c>
      <c r="C98" s="90">
        <f t="shared" si="20"/>
        <v>0</v>
      </c>
      <c r="D98" s="93">
        <f t="shared" ref="D98:D105" si="31">+E97</f>
        <v>0</v>
      </c>
      <c r="E98" s="93">
        <f t="shared" si="29"/>
        <v>0</v>
      </c>
      <c r="F98" s="93">
        <f t="shared" si="9"/>
        <v>0</v>
      </c>
      <c r="G98" s="93">
        <f t="shared" si="10"/>
        <v>0</v>
      </c>
      <c r="H98" s="93">
        <f t="shared" si="11"/>
        <v>0</v>
      </c>
      <c r="I98" s="93">
        <v>0</v>
      </c>
      <c r="J98" s="99">
        <f t="shared" si="12"/>
        <v>0</v>
      </c>
      <c r="K98" s="93">
        <f t="shared" ref="K98:K105" si="32">+IF(B98&lt;=$E$18,$E$21,0)</f>
        <v>0</v>
      </c>
      <c r="L98" s="100">
        <f t="shared" si="13"/>
        <v>0</v>
      </c>
      <c r="N98" s="96">
        <f t="shared" ref="N98:N105" si="33">IF(B98&lt;=$E$18,ROUND((1+$G$18)^(-P98),8),0)</f>
        <v>0</v>
      </c>
      <c r="O98" s="102">
        <f t="shared" ref="O98:O105" si="34">VLOOKUP(MONTH(C98),$R$10:$S$25,2,0)</f>
        <v>1</v>
      </c>
      <c r="P98" s="98">
        <f t="shared" si="30"/>
        <v>-44924</v>
      </c>
      <c r="R98" s="93">
        <f t="shared" si="21"/>
        <v>0</v>
      </c>
      <c r="S98" s="103">
        <f t="shared" si="14"/>
        <v>0</v>
      </c>
      <c r="AC98" s="42">
        <v>65</v>
      </c>
    </row>
    <row r="99" spans="1:31" ht="13.5" hidden="1" thickBot="1" x14ac:dyDescent="0.35">
      <c r="B99" s="42">
        <v>66</v>
      </c>
      <c r="C99" s="90">
        <f t="shared" si="20"/>
        <v>0</v>
      </c>
      <c r="D99" s="93">
        <f t="shared" si="31"/>
        <v>0</v>
      </c>
      <c r="E99" s="93">
        <f t="shared" si="29"/>
        <v>0</v>
      </c>
      <c r="F99" s="93">
        <f t="shared" ref="F99:F105" si="35">IFERROR(IF(B99&lt;$E$18,ROUND($E$19*O99,2)-G99-H99-I99,D99),0)</f>
        <v>0</v>
      </c>
      <c r="G99" s="93">
        <f t="shared" ref="G99:G105" si="36">IFERROR(IF($E$19*O99-I99-H99&lt;ROUND(R99,2),$E$19*O99-I99-H99,ROUND(R99,2)),0)</f>
        <v>0</v>
      </c>
      <c r="H99" s="93">
        <f t="shared" ref="H99:H105" si="37">IFERROR(ROUND(V99,2),0)</f>
        <v>0</v>
      </c>
      <c r="I99" s="93">
        <v>0</v>
      </c>
      <c r="J99" s="99">
        <f t="shared" ref="J99:J105" si="38">+IFERROR(G99+F99+H99,0)</f>
        <v>0</v>
      </c>
      <c r="K99" s="93">
        <f t="shared" si="32"/>
        <v>0</v>
      </c>
      <c r="L99" s="100">
        <f t="shared" ref="L99:L105" si="39">IFERROR(SUM(J99,K99),0)</f>
        <v>0</v>
      </c>
      <c r="N99" s="96">
        <f t="shared" si="33"/>
        <v>0</v>
      </c>
      <c r="O99" s="102">
        <f t="shared" si="34"/>
        <v>1</v>
      </c>
      <c r="P99" s="98">
        <f t="shared" si="30"/>
        <v>-44924</v>
      </c>
      <c r="R99" s="93">
        <f t="shared" si="21"/>
        <v>0</v>
      </c>
      <c r="S99" s="103">
        <f t="shared" ref="S99:S105" si="40">ROUND(R99-G99,2)</f>
        <v>0</v>
      </c>
      <c r="AC99" s="42">
        <v>66</v>
      </c>
    </row>
    <row r="100" spans="1:31" ht="13.5" hidden="1" thickBot="1" x14ac:dyDescent="0.35">
      <c r="B100" s="42">
        <v>67</v>
      </c>
      <c r="C100" s="90">
        <f t="shared" ref="C100:C105" si="41">IF($E$10="Año Base 360",AE100,AD100)</f>
        <v>0</v>
      </c>
      <c r="D100" s="93">
        <f t="shared" si="31"/>
        <v>0</v>
      </c>
      <c r="E100" s="93">
        <f t="shared" si="29"/>
        <v>0</v>
      </c>
      <c r="F100" s="93">
        <f t="shared" si="35"/>
        <v>0</v>
      </c>
      <c r="G100" s="93">
        <f t="shared" si="36"/>
        <v>0</v>
      </c>
      <c r="H100" s="93">
        <f t="shared" si="37"/>
        <v>0</v>
      </c>
      <c r="I100" s="93">
        <v>0</v>
      </c>
      <c r="J100" s="99">
        <f t="shared" si="38"/>
        <v>0</v>
      </c>
      <c r="K100" s="93">
        <f t="shared" si="32"/>
        <v>0</v>
      </c>
      <c r="L100" s="100">
        <f t="shared" si="39"/>
        <v>0</v>
      </c>
      <c r="N100" s="96">
        <f t="shared" si="33"/>
        <v>0</v>
      </c>
      <c r="O100" s="102">
        <f t="shared" si="34"/>
        <v>1</v>
      </c>
      <c r="P100" s="98">
        <f t="shared" si="30"/>
        <v>-44924</v>
      </c>
      <c r="R100" s="93">
        <f t="shared" ref="R100:R105" si="42">+IF(B100&lt;=$E$18,D100*((1+$E$16)^((C100-C99)/360)-1)+S99*((1+$E$16)^((C100-C99)/360)-0),0)</f>
        <v>0</v>
      </c>
      <c r="S100" s="103">
        <f t="shared" si="40"/>
        <v>0</v>
      </c>
      <c r="AC100" s="42">
        <v>67</v>
      </c>
    </row>
    <row r="101" spans="1:31" ht="13.5" hidden="1" thickBot="1" x14ac:dyDescent="0.35">
      <c r="B101" s="42">
        <v>68</v>
      </c>
      <c r="C101" s="90">
        <f t="shared" si="41"/>
        <v>0</v>
      </c>
      <c r="D101" s="93">
        <f t="shared" si="31"/>
        <v>0</v>
      </c>
      <c r="E101" s="93">
        <f t="shared" si="29"/>
        <v>0</v>
      </c>
      <c r="F101" s="93">
        <f t="shared" si="35"/>
        <v>0</v>
      </c>
      <c r="G101" s="93">
        <f t="shared" si="36"/>
        <v>0</v>
      </c>
      <c r="H101" s="93">
        <f t="shared" si="37"/>
        <v>0</v>
      </c>
      <c r="I101" s="93">
        <v>0</v>
      </c>
      <c r="J101" s="99">
        <f t="shared" si="38"/>
        <v>0</v>
      </c>
      <c r="K101" s="93">
        <f t="shared" si="32"/>
        <v>0</v>
      </c>
      <c r="L101" s="100">
        <f t="shared" si="39"/>
        <v>0</v>
      </c>
      <c r="N101" s="96">
        <f t="shared" si="33"/>
        <v>0</v>
      </c>
      <c r="O101" s="102">
        <f t="shared" si="34"/>
        <v>1</v>
      </c>
      <c r="P101" s="98">
        <f t="shared" si="30"/>
        <v>-44924</v>
      </c>
      <c r="R101" s="93">
        <f t="shared" si="42"/>
        <v>0</v>
      </c>
      <c r="S101" s="103">
        <f t="shared" si="40"/>
        <v>0</v>
      </c>
      <c r="AC101" s="42">
        <v>68</v>
      </c>
    </row>
    <row r="102" spans="1:31" ht="13.5" hidden="1" thickBot="1" x14ac:dyDescent="0.35">
      <c r="B102" s="42">
        <v>69</v>
      </c>
      <c r="C102" s="90">
        <f t="shared" si="41"/>
        <v>0</v>
      </c>
      <c r="D102" s="93">
        <f t="shared" si="31"/>
        <v>0</v>
      </c>
      <c r="E102" s="93">
        <f t="shared" si="29"/>
        <v>0</v>
      </c>
      <c r="F102" s="93">
        <f t="shared" si="35"/>
        <v>0</v>
      </c>
      <c r="G102" s="93">
        <f t="shared" si="36"/>
        <v>0</v>
      </c>
      <c r="H102" s="93">
        <f t="shared" si="37"/>
        <v>0</v>
      </c>
      <c r="I102" s="93">
        <v>0</v>
      </c>
      <c r="J102" s="99">
        <f t="shared" si="38"/>
        <v>0</v>
      </c>
      <c r="K102" s="93">
        <f t="shared" si="32"/>
        <v>0</v>
      </c>
      <c r="L102" s="100">
        <f t="shared" si="39"/>
        <v>0</v>
      </c>
      <c r="N102" s="96">
        <f t="shared" si="33"/>
        <v>0</v>
      </c>
      <c r="O102" s="102">
        <f t="shared" si="34"/>
        <v>1</v>
      </c>
      <c r="P102" s="98">
        <f t="shared" si="30"/>
        <v>-44924</v>
      </c>
      <c r="R102" s="93">
        <f t="shared" si="42"/>
        <v>0</v>
      </c>
      <c r="S102" s="103">
        <f t="shared" si="40"/>
        <v>0</v>
      </c>
      <c r="AC102" s="42">
        <v>69</v>
      </c>
    </row>
    <row r="103" spans="1:31" ht="13.5" hidden="1" thickBot="1" x14ac:dyDescent="0.35">
      <c r="B103" s="42">
        <v>70</v>
      </c>
      <c r="C103" s="90">
        <f t="shared" si="41"/>
        <v>0</v>
      </c>
      <c r="D103" s="93">
        <f t="shared" si="31"/>
        <v>0</v>
      </c>
      <c r="E103" s="93">
        <f t="shared" si="29"/>
        <v>0</v>
      </c>
      <c r="F103" s="93">
        <f t="shared" si="35"/>
        <v>0</v>
      </c>
      <c r="G103" s="93">
        <f t="shared" si="36"/>
        <v>0</v>
      </c>
      <c r="H103" s="93">
        <f t="shared" si="37"/>
        <v>0</v>
      </c>
      <c r="I103" s="93">
        <v>0</v>
      </c>
      <c r="J103" s="99">
        <f t="shared" si="38"/>
        <v>0</v>
      </c>
      <c r="K103" s="93">
        <f t="shared" si="32"/>
        <v>0</v>
      </c>
      <c r="L103" s="100">
        <f t="shared" si="39"/>
        <v>0</v>
      </c>
      <c r="N103" s="96">
        <f t="shared" si="33"/>
        <v>0</v>
      </c>
      <c r="O103" s="102">
        <f t="shared" si="34"/>
        <v>1</v>
      </c>
      <c r="P103" s="98">
        <f t="shared" si="30"/>
        <v>-44924</v>
      </c>
      <c r="R103" s="93">
        <f t="shared" si="42"/>
        <v>0</v>
      </c>
      <c r="S103" s="103">
        <f t="shared" si="40"/>
        <v>0</v>
      </c>
      <c r="AC103" s="42">
        <v>70</v>
      </c>
    </row>
    <row r="104" spans="1:31" ht="13.5" hidden="1" thickBot="1" x14ac:dyDescent="0.35">
      <c r="B104" s="42">
        <v>71</v>
      </c>
      <c r="C104" s="90">
        <f t="shared" si="41"/>
        <v>0</v>
      </c>
      <c r="D104" s="93">
        <f t="shared" si="31"/>
        <v>0</v>
      </c>
      <c r="E104" s="93">
        <f t="shared" si="29"/>
        <v>0</v>
      </c>
      <c r="F104" s="93">
        <f t="shared" si="35"/>
        <v>0</v>
      </c>
      <c r="G104" s="93">
        <f t="shared" si="36"/>
        <v>0</v>
      </c>
      <c r="H104" s="93">
        <f t="shared" si="37"/>
        <v>0</v>
      </c>
      <c r="I104" s="93">
        <v>0</v>
      </c>
      <c r="J104" s="99">
        <f t="shared" si="38"/>
        <v>0</v>
      </c>
      <c r="K104" s="93">
        <f t="shared" si="32"/>
        <v>0</v>
      </c>
      <c r="L104" s="100">
        <f t="shared" si="39"/>
        <v>0</v>
      </c>
      <c r="N104" s="96">
        <f t="shared" si="33"/>
        <v>0</v>
      </c>
      <c r="O104" s="102">
        <f t="shared" si="34"/>
        <v>1</v>
      </c>
      <c r="P104" s="98">
        <f t="shared" si="30"/>
        <v>-44924</v>
      </c>
      <c r="R104" s="93">
        <f t="shared" si="42"/>
        <v>0</v>
      </c>
      <c r="S104" s="103">
        <f t="shared" si="40"/>
        <v>0</v>
      </c>
      <c r="AC104" s="42">
        <v>71</v>
      </c>
    </row>
    <row r="105" spans="1:31" ht="13.5" hidden="1" thickBot="1" x14ac:dyDescent="0.35">
      <c r="B105" s="105">
        <v>72</v>
      </c>
      <c r="C105" s="90">
        <f t="shared" si="41"/>
        <v>0</v>
      </c>
      <c r="D105" s="106">
        <f t="shared" si="31"/>
        <v>0</v>
      </c>
      <c r="E105" s="106">
        <f t="shared" si="29"/>
        <v>0</v>
      </c>
      <c r="F105" s="93">
        <f t="shared" si="35"/>
        <v>0</v>
      </c>
      <c r="G105" s="93">
        <f t="shared" si="36"/>
        <v>0</v>
      </c>
      <c r="H105" s="93">
        <f t="shared" si="37"/>
        <v>0</v>
      </c>
      <c r="I105" s="93">
        <v>0</v>
      </c>
      <c r="J105" s="99">
        <f t="shared" si="38"/>
        <v>0</v>
      </c>
      <c r="K105" s="106">
        <f t="shared" si="32"/>
        <v>0</v>
      </c>
      <c r="L105" s="100">
        <f t="shared" si="39"/>
        <v>0</v>
      </c>
      <c r="N105" s="96">
        <f t="shared" si="33"/>
        <v>0</v>
      </c>
      <c r="O105" s="102">
        <f t="shared" si="34"/>
        <v>1</v>
      </c>
      <c r="P105" s="98">
        <f t="shared" si="30"/>
        <v>-44924</v>
      </c>
      <c r="R105" s="93">
        <f t="shared" si="42"/>
        <v>0</v>
      </c>
      <c r="S105" s="103">
        <f t="shared" si="40"/>
        <v>0</v>
      </c>
      <c r="AC105" s="105">
        <v>72</v>
      </c>
    </row>
    <row r="106" spans="1:31" x14ac:dyDescent="0.3">
      <c r="B106" s="107" t="s">
        <v>52</v>
      </c>
      <c r="C106" s="107"/>
      <c r="D106" s="108">
        <f>SUM(D34:D81)</f>
        <v>296388.75999999966</v>
      </c>
      <c r="E106" s="108">
        <f t="shared" ref="E106:L106" si="43">SUM(E34:E81)</f>
        <v>286388.75999999972</v>
      </c>
      <c r="F106" s="108">
        <f t="shared" si="43"/>
        <v>9999.9999999999945</v>
      </c>
      <c r="G106" s="108">
        <f t="shared" si="43"/>
        <v>7689.15</v>
      </c>
      <c r="H106" s="108">
        <f t="shared" si="43"/>
        <v>385.50999999999982</v>
      </c>
      <c r="I106" s="108">
        <f t="shared" si="43"/>
        <v>0</v>
      </c>
      <c r="J106" s="108">
        <f t="shared" si="43"/>
        <v>18074.659999999978</v>
      </c>
      <c r="K106" s="108">
        <f t="shared" si="43"/>
        <v>0</v>
      </c>
      <c r="L106" s="108">
        <f t="shared" si="43"/>
        <v>18074.659999999978</v>
      </c>
      <c r="O106" s="102"/>
      <c r="AC106" s="23"/>
      <c r="AD106" s="30">
        <f>IF(DAY(EOMONTH(C105,1))&lt;$G$10,DATE(YEAR(C105),MONTH(C105)+2,0),DATE(YEAR(C105),MONTH(C105)+1,DAY($G$10)))</f>
        <v>38</v>
      </c>
      <c r="AE106" s="30">
        <f t="shared" ref="AE106:AE107" si="44">AE105+30</f>
        <v>30</v>
      </c>
    </row>
    <row r="107" spans="1:31" x14ac:dyDescent="0.3">
      <c r="E107" s="20"/>
      <c r="H107" s="19"/>
      <c r="AD107" s="30">
        <f>IF(DAY(EOMONTH(C106,1))&lt;$G$10,DATE(YEAR(C106),MONTH(C106)+2,0),DATE(YEAR(C106),MONTH(C106)+1,DAY($G$10)))</f>
        <v>38</v>
      </c>
      <c r="AE107" s="30">
        <f t="shared" si="44"/>
        <v>60</v>
      </c>
    </row>
    <row r="108" spans="1:31" x14ac:dyDescent="0.3">
      <c r="E108" s="20"/>
      <c r="H108" s="19"/>
      <c r="AD108" s="30"/>
      <c r="AE108" s="30"/>
    </row>
    <row r="109" spans="1:31" ht="15.5" x14ac:dyDescent="0.35">
      <c r="A109" s="109"/>
      <c r="B109" s="110" t="s">
        <v>65</v>
      </c>
      <c r="C109" s="109"/>
      <c r="D109" s="109"/>
      <c r="E109" s="111"/>
      <c r="F109" s="109"/>
      <c r="G109" s="109"/>
      <c r="H109" s="109"/>
      <c r="I109" s="109"/>
      <c r="J109" s="109"/>
      <c r="K109" s="109"/>
      <c r="L109" s="111"/>
      <c r="M109" s="109"/>
      <c r="AD109" s="30"/>
      <c r="AE109" s="30"/>
    </row>
    <row r="110" spans="1:31" ht="15.5" x14ac:dyDescent="0.35">
      <c r="A110" s="109"/>
      <c r="B110" s="110"/>
      <c r="C110" s="109"/>
      <c r="D110" s="109"/>
      <c r="E110" s="111"/>
      <c r="F110" s="109"/>
      <c r="G110" s="109"/>
      <c r="H110" s="109"/>
      <c r="I110" s="109"/>
      <c r="J110" s="109"/>
      <c r="K110" s="109"/>
      <c r="L110" s="111"/>
      <c r="M110" s="109"/>
      <c r="AD110" s="30"/>
      <c r="AE110" s="30"/>
    </row>
    <row r="111" spans="1:31" x14ac:dyDescent="0.3">
      <c r="A111" s="109"/>
      <c r="B111" s="142" t="s">
        <v>66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11"/>
      <c r="M111" s="109"/>
      <c r="AD111" s="30"/>
      <c r="AE111" s="30"/>
    </row>
    <row r="112" spans="1:31" ht="28.5" customHeight="1" x14ac:dyDescent="0.3">
      <c r="A112" s="109"/>
      <c r="B112" s="145" t="s">
        <v>67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6"/>
      <c r="M112" s="109"/>
      <c r="AD112" s="30"/>
      <c r="AE112" s="30"/>
    </row>
    <row r="113" spans="1:31" x14ac:dyDescent="0.3">
      <c r="A113" s="109"/>
      <c r="B113" s="143" t="s">
        <v>77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7"/>
      <c r="M113" s="109"/>
      <c r="AD113" s="30"/>
      <c r="AE113" s="30"/>
    </row>
    <row r="114" spans="1:31" x14ac:dyDescent="0.3">
      <c r="A114" s="109"/>
      <c r="B114" s="143" t="s">
        <v>78</v>
      </c>
      <c r="C114" s="144"/>
      <c r="D114" s="144"/>
      <c r="E114" s="144"/>
      <c r="F114" s="144"/>
      <c r="G114" s="144"/>
      <c r="H114" s="144"/>
      <c r="I114" s="144"/>
      <c r="J114" s="144"/>
      <c r="K114" s="144"/>
      <c r="L114" s="147"/>
      <c r="M114" s="109"/>
      <c r="AD114" s="30"/>
      <c r="AE114" s="30"/>
    </row>
    <row r="115" spans="1:31" ht="27" customHeight="1" x14ac:dyDescent="0.3">
      <c r="A115" s="109"/>
      <c r="B115" s="143" t="s">
        <v>74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11"/>
      <c r="M115" s="109"/>
      <c r="AD115" s="30"/>
      <c r="AE115" s="30"/>
    </row>
  </sheetData>
  <sheetProtection algorithmName="SHA-512" hashValue="BIkgy2lDYWj/JZGvicnzoGVcIxLpF2pFVX+XEZnCm0OO06isP7GC/W1XgLUoM8GikTHkgyF6PxpVpm/c7OHrYw==" saltValue="fZAcrKVHxGLoPYZV6kPQlw==" spinCount="100000" sheet="1" selectLockedCells="1"/>
  <mergeCells count="24">
    <mergeCell ref="B111:K111"/>
    <mergeCell ref="B115:K115"/>
    <mergeCell ref="B112:L112"/>
    <mergeCell ref="B113:L113"/>
    <mergeCell ref="B114:L114"/>
    <mergeCell ref="B22:D22"/>
    <mergeCell ref="B21:D21"/>
    <mergeCell ref="V31:W31"/>
    <mergeCell ref="B20:D20"/>
    <mergeCell ref="D32:E32"/>
    <mergeCell ref="B28:D28"/>
    <mergeCell ref="H31:I31"/>
    <mergeCell ref="B6:L6"/>
    <mergeCell ref="B8:D8"/>
    <mergeCell ref="B9:D9"/>
    <mergeCell ref="B10:D10"/>
    <mergeCell ref="B19:D19"/>
    <mergeCell ref="B18:D18"/>
    <mergeCell ref="B12:D12"/>
    <mergeCell ref="B15:D15"/>
    <mergeCell ref="B16:D16"/>
    <mergeCell ref="B17:D17"/>
    <mergeCell ref="B13:D13"/>
    <mergeCell ref="B14:D14"/>
  </mergeCells>
  <phoneticPr fontId="0" type="noConversion"/>
  <conditionalFormatting sqref="F10:G10">
    <cfRule type="expression" dxfId="1" priority="2" stopIfTrue="1">
      <formula>$E$10="Año Base 360"</formula>
    </cfRule>
  </conditionalFormatting>
  <conditionalFormatting sqref="E11">
    <cfRule type="expression" dxfId="0" priority="1" stopIfTrue="1">
      <formula>$E$10="Año Base 360"</formula>
    </cfRule>
  </conditionalFormatting>
  <dataValidations count="10">
    <dataValidation type="list" allowBlank="1" showInputMessage="1" showErrorMessage="1" sqref="E8">
      <formula1>"Soles,Dólares"</formula1>
    </dataValidation>
    <dataValidation type="list" allowBlank="1" showInputMessage="1" showErrorMessage="1" sqref="E10">
      <formula1>"Año Base 360,Días Calendario"</formula1>
    </dataValidation>
    <dataValidation allowBlank="1" showInputMessage="1" showErrorMessage="1" errorTitle="Monto Solicitado" error="El monto solicitado no puede exceder a S/. 66,000 o US$ 22,000" sqref="E9"/>
    <dataValidation type="whole" allowBlank="1" showInputMessage="1" showErrorMessage="1" errorTitle="Plazo del Préstamo" error="El máximo plazo establecido es hasta 48 meses." sqref="E18">
      <formula1>0</formula1>
      <formula2>48</formula2>
    </dataValidation>
    <dataValidation type="whole" allowBlank="1" showInputMessage="1" showErrorMessage="1" errorTitle="Plazo de Gracia" error="El máximo plazo establecido es hasta 6 meses." sqref="E13">
      <formula1>0</formula1>
      <formula2>6</formula2>
    </dataValidation>
    <dataValidation type="list" allowBlank="1" showInputMessage="1" showErrorMessage="1" errorTitle="Plazo de Gracia" error="El máximo plazo establecido es hasta 6 meses." sqref="E14">
      <formula1>"Si,No"</formula1>
    </dataValidation>
    <dataValidation type="list" allowBlank="1" showInputMessage="1" showErrorMessage="1" sqref="E20">
      <formula1>$Q$28:$Q$29</formula1>
    </dataValidation>
    <dataValidation type="list" allowBlank="1" showInputMessage="1" showErrorMessage="1" sqref="G10:G11">
      <formula1>$S$4:$S$6</formula1>
    </dataValidation>
    <dataValidation type="list" allowBlank="1" showInputMessage="1" showErrorMessage="1" sqref="E23">
      <formula1>$O$10:$O$12</formula1>
    </dataValidation>
    <dataValidation type="list" allowBlank="1" showInputMessage="1" showErrorMessage="1" sqref="E11">
      <formula1>$L$14:$L$16</formula1>
    </dataValidation>
  </dataValidations>
  <pageMargins left="0.74803149606299213" right="0.74803149606299213" top="0.98425196850393704" bottom="0.98425196850393704" header="0" footer="0"/>
  <pageSetup paperSize="9" scale="60" orientation="portrait" horizontalDpi="4294967294" verticalDpi="4294967294" r:id="rId1"/>
  <headerFooter alignWithMargins="0"/>
  <colBreaks count="1" manualBreakCount="1">
    <brk id="13" min="4" max="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7:J52"/>
  <sheetViews>
    <sheetView topLeftCell="A17" workbookViewId="0">
      <selection activeCell="C34" sqref="C34"/>
    </sheetView>
  </sheetViews>
  <sheetFormatPr baseColWidth="10" defaultRowHeight="12.5" x14ac:dyDescent="0.25"/>
  <cols>
    <col min="1" max="1" width="3.1796875" customWidth="1" collapsed="1"/>
  </cols>
  <sheetData>
    <row r="7" spans="2:10" ht="13" thickBot="1" x14ac:dyDescent="0.3"/>
    <row r="8" spans="2:10" s="5" customFormat="1" ht="25" customHeight="1" thickBot="1" x14ac:dyDescent="0.4">
      <c r="B8" s="2" t="s">
        <v>31</v>
      </c>
      <c r="C8" s="3"/>
      <c r="D8" s="3"/>
      <c r="E8" s="3"/>
      <c r="F8" s="3"/>
      <c r="G8" s="3"/>
      <c r="H8" s="3"/>
      <c r="I8" s="3"/>
      <c r="J8" s="4"/>
    </row>
    <row r="12" spans="2:10" ht="13" x14ac:dyDescent="0.3">
      <c r="B12" t="s">
        <v>3</v>
      </c>
      <c r="F12" t="s">
        <v>29</v>
      </c>
    </row>
    <row r="19" spans="2:5" ht="13" x14ac:dyDescent="0.3">
      <c r="B19" t="s">
        <v>5</v>
      </c>
    </row>
    <row r="24" spans="2:5" x14ac:dyDescent="0.25">
      <c r="B24" t="s">
        <v>7</v>
      </c>
    </row>
    <row r="30" spans="2:5" ht="13" x14ac:dyDescent="0.3">
      <c r="B30" t="s">
        <v>4</v>
      </c>
      <c r="E30" t="s">
        <v>11</v>
      </c>
    </row>
    <row r="36" spans="2:9" ht="13" x14ac:dyDescent="0.3">
      <c r="B36" t="s">
        <v>6</v>
      </c>
      <c r="E36" t="s">
        <v>9</v>
      </c>
    </row>
    <row r="37" spans="2:9" x14ac:dyDescent="0.25">
      <c r="B37" t="s">
        <v>12</v>
      </c>
    </row>
    <row r="42" spans="2:9" ht="13" x14ac:dyDescent="0.3">
      <c r="B42" s="1" t="s">
        <v>24</v>
      </c>
    </row>
    <row r="43" spans="2:9" x14ac:dyDescent="0.25">
      <c r="B43" s="6"/>
      <c r="C43" s="7"/>
      <c r="D43" s="7"/>
      <c r="E43" s="7"/>
      <c r="F43" s="7"/>
      <c r="G43" s="7"/>
      <c r="H43" s="7"/>
      <c r="I43" s="8"/>
    </row>
    <row r="44" spans="2:9" x14ac:dyDescent="0.25">
      <c r="B44" s="9"/>
      <c r="C44" t="s">
        <v>16</v>
      </c>
      <c r="F44" t="s">
        <v>32</v>
      </c>
      <c r="I44" s="10"/>
    </row>
    <row r="45" spans="2:9" x14ac:dyDescent="0.25">
      <c r="B45" s="9"/>
      <c r="C45" t="s">
        <v>17</v>
      </c>
      <c r="F45" t="s">
        <v>23</v>
      </c>
      <c r="I45" s="10"/>
    </row>
    <row r="46" spans="2:9" x14ac:dyDescent="0.25">
      <c r="B46" s="9"/>
      <c r="C46" t="s">
        <v>33</v>
      </c>
      <c r="F46" t="s">
        <v>10</v>
      </c>
      <c r="I46" s="10"/>
    </row>
    <row r="47" spans="2:9" x14ac:dyDescent="0.25">
      <c r="B47" s="9"/>
      <c r="C47" t="s">
        <v>19</v>
      </c>
      <c r="F47" t="s">
        <v>8</v>
      </c>
      <c r="I47" s="10"/>
    </row>
    <row r="48" spans="2:9" x14ac:dyDescent="0.25">
      <c r="B48" s="9"/>
      <c r="C48" t="s">
        <v>20</v>
      </c>
      <c r="F48" t="s">
        <v>25</v>
      </c>
      <c r="I48" s="10"/>
    </row>
    <row r="49" spans="2:9" x14ac:dyDescent="0.25">
      <c r="B49" s="9"/>
      <c r="C49" t="s">
        <v>18</v>
      </c>
      <c r="F49" t="s">
        <v>30</v>
      </c>
      <c r="I49" s="10"/>
    </row>
    <row r="50" spans="2:9" x14ac:dyDescent="0.25">
      <c r="B50" s="9"/>
      <c r="C50" t="s">
        <v>21</v>
      </c>
      <c r="I50" s="10"/>
    </row>
    <row r="51" spans="2:9" x14ac:dyDescent="0.25">
      <c r="B51" s="9"/>
      <c r="C51" t="s">
        <v>22</v>
      </c>
      <c r="I51" s="10"/>
    </row>
    <row r="52" spans="2:9" x14ac:dyDescent="0.25">
      <c r="B52" s="11"/>
      <c r="C52" s="12"/>
      <c r="D52" s="12"/>
      <c r="E52" s="12"/>
      <c r="F52" s="12"/>
      <c r="G52" s="12"/>
      <c r="H52" s="12"/>
      <c r="I52" s="13"/>
    </row>
  </sheetData>
  <phoneticPr fontId="0" type="noConversion"/>
  <printOptions horizontalCentered="1"/>
  <pageMargins left="0.78740157480314965" right="0.78740157480314965" top="0.98425196850393704" bottom="0.98425196850393704" header="0" footer="0"/>
  <pageSetup paperSize="9"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146050</xdr:colOff>
                <xdr:row>12</xdr:row>
                <xdr:rowOff>69850</xdr:rowOff>
              </from>
              <to>
                <xdr:col>4</xdr:col>
                <xdr:colOff>31750</xdr:colOff>
                <xdr:row>16</xdr:row>
                <xdr:rowOff>127000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88900</xdr:colOff>
                <xdr:row>24</xdr:row>
                <xdr:rowOff>50800</xdr:rowOff>
              </from>
              <to>
                <xdr:col>3</xdr:col>
                <xdr:colOff>488950</xdr:colOff>
                <xdr:row>28</xdr:row>
                <xdr:rowOff>12700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4</xdr:col>
                <xdr:colOff>69850</xdr:colOff>
                <xdr:row>24</xdr:row>
                <xdr:rowOff>107950</xdr:rowOff>
              </from>
              <to>
                <xdr:col>6</xdr:col>
                <xdr:colOff>717550</xdr:colOff>
                <xdr:row>28</xdr:row>
                <xdr:rowOff>69850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r:id="rId11">
            <anchor moveWithCells="1" sizeWithCells="1">
              <from>
                <xdr:col>1</xdr:col>
                <xdr:colOff>107950</xdr:colOff>
                <xdr:row>30</xdr:row>
                <xdr:rowOff>146050</xdr:rowOff>
              </from>
              <to>
                <xdr:col>2</xdr:col>
                <xdr:colOff>457200</xdr:colOff>
                <xdr:row>33</xdr:row>
                <xdr:rowOff>31750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69850</xdr:colOff>
                <xdr:row>37</xdr:row>
                <xdr:rowOff>146050</xdr:rowOff>
              </from>
              <to>
                <xdr:col>2</xdr:col>
                <xdr:colOff>431800</xdr:colOff>
                <xdr:row>40</xdr:row>
                <xdr:rowOff>31750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1</xdr:col>
                <xdr:colOff>107950</xdr:colOff>
                <xdr:row>20</xdr:row>
                <xdr:rowOff>50800</xdr:rowOff>
              </from>
              <to>
                <xdr:col>2</xdr:col>
                <xdr:colOff>717550</xdr:colOff>
                <xdr:row>22</xdr:row>
                <xdr:rowOff>69850</xdr:rowOff>
              </to>
            </anchor>
          </objectPr>
        </oleObject>
      </mc:Choice>
      <mc:Fallback>
        <oleObject progId="Equation.3" shapeId="3078" r:id="rId14"/>
      </mc:Fallback>
    </mc:AlternateContent>
    <mc:AlternateContent xmlns:mc="http://schemas.openxmlformats.org/markup-compatibility/2006">
      <mc:Choice Requires="x14">
        <oleObject progId="Equation.3" shapeId="3079" r:id="rId16">
          <objectPr defaultSize="0" autoPict="0" r:id="rId17">
            <anchor moveWithCells="1" sizeWithCells="1">
              <from>
                <xdr:col>5</xdr:col>
                <xdr:colOff>31750</xdr:colOff>
                <xdr:row>13</xdr:row>
                <xdr:rowOff>0</xdr:rowOff>
              </from>
              <to>
                <xdr:col>7</xdr:col>
                <xdr:colOff>203200</xdr:colOff>
                <xdr:row>16</xdr:row>
                <xdr:rowOff>107950</xdr:rowOff>
              </to>
            </anchor>
          </objectPr>
        </oleObject>
      </mc:Choice>
      <mc:Fallback>
        <oleObject progId="Equation.3" shapeId="3079" r:id="rId16"/>
      </mc:Fallback>
    </mc:AlternateContent>
    <mc:AlternateContent xmlns:mc="http://schemas.openxmlformats.org/markup-compatibility/2006">
      <mc:Choice Requires="x14">
        <oleObject progId="Equation.3" shapeId="3080" r:id="rId18">
          <objectPr defaultSize="0" r:id="rId19">
            <anchor moveWithCells="1" sizeWithCells="1">
              <from>
                <xdr:col>4</xdr:col>
                <xdr:colOff>31750</xdr:colOff>
                <xdr:row>37</xdr:row>
                <xdr:rowOff>127000</xdr:rowOff>
              </from>
              <to>
                <xdr:col>6</xdr:col>
                <xdr:colOff>279400</xdr:colOff>
                <xdr:row>40</xdr:row>
                <xdr:rowOff>12700</xdr:rowOff>
              </to>
            </anchor>
          </objectPr>
        </oleObject>
      </mc:Choice>
      <mc:Fallback>
        <oleObject progId="Equation.3" shapeId="3080" r:id="rId18"/>
      </mc:Fallback>
    </mc:AlternateContent>
    <mc:AlternateContent xmlns:mc="http://schemas.openxmlformats.org/markup-compatibility/2006">
      <mc:Choice Requires="x14">
        <oleObject progId="Equation.3" shapeId="3081" r:id="rId20">
          <objectPr defaultSize="0" r:id="rId21">
            <anchor moveWithCells="1" sizeWithCells="1">
              <from>
                <xdr:col>4</xdr:col>
                <xdr:colOff>31750</xdr:colOff>
                <xdr:row>30</xdr:row>
                <xdr:rowOff>88900</xdr:rowOff>
              </from>
              <to>
                <xdr:col>8</xdr:col>
                <xdr:colOff>755650</xdr:colOff>
                <xdr:row>34</xdr:row>
                <xdr:rowOff>88900</xdr:rowOff>
              </to>
            </anchor>
          </objectPr>
        </oleObject>
      </mc:Choice>
      <mc:Fallback>
        <oleObject progId="Equation.3" shapeId="3081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Simulador</vt:lpstr>
      <vt:lpstr>Formulas</vt:lpstr>
      <vt:lpstr>Formulas!Área_de_impresión</vt:lpstr>
      <vt:lpstr>Simulador!Área_de_impresión</vt:lpstr>
      <vt:lpstr>EnvioFisico</vt:lpstr>
    </vt:vector>
  </TitlesOfParts>
  <Company>Banco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Kenneth Anderson Espinoza Villalva</cp:lastModifiedBy>
  <cp:lastPrinted>2019-06-12T15:55:48Z</cp:lastPrinted>
  <dcterms:created xsi:type="dcterms:W3CDTF">2006-06-27T20:09:38Z</dcterms:created>
  <dcterms:modified xsi:type="dcterms:W3CDTF">2022-12-29T16:52:57Z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2abd79-57a9-4473-8700-c843f76a1e37_Enabled">
    <vt:lpwstr>true</vt:lpwstr>
  </property>
  <property fmtid="{D5CDD505-2E9C-101B-9397-08002B2CF9AE}" pid="3" name="MSIP_Label_0c2abd79-57a9-4473-8700-c843f76a1e37_SetDate">
    <vt:lpwstr>2022-12-26T23:25:57Z</vt:lpwstr>
  </property>
  <property fmtid="{D5CDD505-2E9C-101B-9397-08002B2CF9AE}" pid="4" name="MSIP_Label_0c2abd79-57a9-4473-8700-c843f76a1e37_Method">
    <vt:lpwstr>Privileged</vt:lpwstr>
  </property>
  <property fmtid="{D5CDD505-2E9C-101B-9397-08002B2CF9AE}" pid="5" name="MSIP_Label_0c2abd79-57a9-4473-8700-c843f76a1e37_Name">
    <vt:lpwstr>Internal</vt:lpwstr>
  </property>
  <property fmtid="{D5CDD505-2E9C-101B-9397-08002B2CF9AE}" pid="6" name="MSIP_Label_0c2abd79-57a9-4473-8700-c843f76a1e37_SiteId">
    <vt:lpwstr>35595a02-4d6d-44ac-99e1-f9ab4cd872db</vt:lpwstr>
  </property>
  <property fmtid="{D5CDD505-2E9C-101B-9397-08002B2CF9AE}" pid="7" name="MSIP_Label_0c2abd79-57a9-4473-8700-c843f76a1e37_ActionId">
    <vt:lpwstr>90751c4b-fb64-4b94-8319-4f21c01fc52c</vt:lpwstr>
  </property>
  <property fmtid="{D5CDD505-2E9C-101B-9397-08002B2CF9AE}" pid="8" name="MSIP_Label_0c2abd79-57a9-4473-8700-c843f76a1e37_ContentBits">
    <vt:lpwstr>0</vt:lpwstr>
  </property>
</Properties>
</file>