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havez\Downloads\"/>
    </mc:Choice>
  </mc:AlternateContent>
  <workbookProtection workbookAlgorithmName="SHA-512" workbookHashValue="54QCdmWFsItCnEPj/5zu50rt4QpxlmvwiRfsBdnnoTqU0lc1xljIAc5Sqo0Wd0G5RDYjqcXMr+nQEM/prHMGSw==" workbookSaltValue="eYnBlZq20/UFBGe9tJiqlA==" workbookSpinCount="100000" lockStructure="1"/>
  <bookViews>
    <workbookView xWindow="-105" yWindow="-105" windowWidth="23250" windowHeight="12570" tabRatio="599"/>
  </bookViews>
  <sheets>
    <sheet name="Simulador" sheetId="1" r:id="rId1"/>
    <sheet name="Formulas" sheetId="3" state="hidden" r:id="rId2"/>
  </sheets>
  <definedNames>
    <definedName name="_xlnm.Print_Area" localSheetId="1">Formulas!$B$1:$J$56</definedName>
    <definedName name="_xlnm.Print_Area" localSheetId="0">Simulador!$B$5:$P$112</definedName>
    <definedName name="EnvioFisico">Simulador!$S$36:$S$37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1" i="1" l="1"/>
  <c r="E12" i="1"/>
  <c r="E31" i="1"/>
  <c r="E13" i="1" l="1"/>
  <c r="E17" i="1" l="1"/>
  <c r="E28" i="1" l="1"/>
  <c r="Y112" i="1" l="1"/>
  <c r="I112" i="1" s="1"/>
  <c r="Y111" i="1"/>
  <c r="I111" i="1" s="1"/>
  <c r="Y110" i="1"/>
  <c r="I110" i="1" s="1"/>
  <c r="Y109" i="1"/>
  <c r="I109" i="1" s="1"/>
  <c r="Y108" i="1"/>
  <c r="I108" i="1" s="1"/>
  <c r="Y107" i="1"/>
  <c r="I107" i="1" s="1"/>
  <c r="Y106" i="1"/>
  <c r="I106" i="1" s="1"/>
  <c r="Y105" i="1"/>
  <c r="I105" i="1" s="1"/>
  <c r="Y104" i="1"/>
  <c r="I104" i="1" s="1"/>
  <c r="Y103" i="1"/>
  <c r="I103" i="1" s="1"/>
  <c r="Y102" i="1"/>
  <c r="I102" i="1" s="1"/>
  <c r="Y101" i="1"/>
  <c r="I101" i="1" s="1"/>
  <c r="Y100" i="1"/>
  <c r="I100" i="1" s="1"/>
  <c r="Y99" i="1"/>
  <c r="I99" i="1" s="1"/>
  <c r="Y98" i="1"/>
  <c r="I98" i="1" s="1"/>
  <c r="Y97" i="1"/>
  <c r="I97" i="1" s="1"/>
  <c r="Y96" i="1"/>
  <c r="I96" i="1" s="1"/>
  <c r="Y95" i="1"/>
  <c r="I95" i="1" s="1"/>
  <c r="Y94" i="1"/>
  <c r="I94" i="1" s="1"/>
  <c r="Y93" i="1"/>
  <c r="I93" i="1" s="1"/>
  <c r="Y92" i="1"/>
  <c r="I92" i="1" s="1"/>
  <c r="Y91" i="1"/>
  <c r="I91" i="1" s="1"/>
  <c r="Y90" i="1"/>
  <c r="I90" i="1" s="1"/>
  <c r="Y89" i="1"/>
  <c r="I89" i="1" s="1"/>
  <c r="Y88" i="1"/>
  <c r="I88" i="1" s="1"/>
  <c r="Y87" i="1"/>
  <c r="I87" i="1" s="1"/>
  <c r="Y86" i="1"/>
  <c r="I86" i="1" s="1"/>
  <c r="Y85" i="1"/>
  <c r="I85" i="1" s="1"/>
  <c r="Y84" i="1"/>
  <c r="I84" i="1" s="1"/>
  <c r="Y83" i="1"/>
  <c r="I83" i="1" s="1"/>
  <c r="Y82" i="1"/>
  <c r="I82" i="1" s="1"/>
  <c r="Y81" i="1"/>
  <c r="I81" i="1" s="1"/>
  <c r="Y80" i="1"/>
  <c r="I80" i="1" s="1"/>
  <c r="Y79" i="1"/>
  <c r="I79" i="1" s="1"/>
  <c r="Y78" i="1"/>
  <c r="I78" i="1" s="1"/>
  <c r="Y77" i="1"/>
  <c r="I77" i="1" s="1"/>
  <c r="Y76" i="1"/>
  <c r="I76" i="1" s="1"/>
  <c r="Y75" i="1"/>
  <c r="I75" i="1" s="1"/>
  <c r="Y74" i="1"/>
  <c r="I74" i="1" s="1"/>
  <c r="Y73" i="1"/>
  <c r="I73" i="1" s="1"/>
  <c r="Y72" i="1"/>
  <c r="I72" i="1" s="1"/>
  <c r="Y71" i="1"/>
  <c r="I71" i="1" s="1"/>
  <c r="Y70" i="1"/>
  <c r="I70" i="1" s="1"/>
  <c r="Y69" i="1"/>
  <c r="I69" i="1" s="1"/>
  <c r="Y68" i="1"/>
  <c r="I68" i="1" s="1"/>
  <c r="Y67" i="1"/>
  <c r="I67" i="1" s="1"/>
  <c r="Y66" i="1"/>
  <c r="I66" i="1" s="1"/>
  <c r="Y65" i="1"/>
  <c r="I65" i="1" s="1"/>
  <c r="Y64" i="1"/>
  <c r="I64" i="1" s="1"/>
  <c r="Y63" i="1"/>
  <c r="I63" i="1" s="1"/>
  <c r="Y62" i="1"/>
  <c r="I62" i="1" s="1"/>
  <c r="Y61" i="1"/>
  <c r="I61" i="1" s="1"/>
  <c r="Y60" i="1"/>
  <c r="I60" i="1" s="1"/>
  <c r="Y59" i="1"/>
  <c r="I59" i="1" s="1"/>
  <c r="Y58" i="1"/>
  <c r="I58" i="1" s="1"/>
  <c r="Y57" i="1"/>
  <c r="I57" i="1" s="1"/>
  <c r="Y56" i="1"/>
  <c r="I56" i="1" s="1"/>
  <c r="Y55" i="1"/>
  <c r="I55" i="1" s="1"/>
  <c r="Y54" i="1"/>
  <c r="I54" i="1" s="1"/>
  <c r="Y53" i="1"/>
  <c r="I53" i="1" s="1"/>
  <c r="Y52" i="1"/>
  <c r="I52" i="1" s="1"/>
  <c r="Y51" i="1"/>
  <c r="I51" i="1" s="1"/>
  <c r="Y50" i="1"/>
  <c r="I50" i="1" s="1"/>
  <c r="Y49" i="1"/>
  <c r="I49" i="1" s="1"/>
  <c r="Y48" i="1"/>
  <c r="I48" i="1" s="1"/>
  <c r="Y47" i="1"/>
  <c r="I47" i="1" s="1"/>
  <c r="Y46" i="1"/>
  <c r="I46" i="1" s="1"/>
  <c r="Y45" i="1"/>
  <c r="I45" i="1" s="1"/>
  <c r="Y44" i="1"/>
  <c r="I44" i="1" s="1"/>
  <c r="Y43" i="1"/>
  <c r="I43" i="1" s="1"/>
  <c r="Y42" i="1"/>
  <c r="I42" i="1" s="1"/>
  <c r="Y41" i="1"/>
  <c r="I41" i="1" s="1"/>
  <c r="T36" i="1"/>
  <c r="I113" i="1" l="1"/>
  <c r="P8" i="1" l="1"/>
  <c r="E20" i="1" s="1"/>
  <c r="E26" i="1"/>
  <c r="C41" i="1" l="1"/>
  <c r="AF114" i="1" l="1"/>
  <c r="L42" i="1"/>
  <c r="G21" i="1" l="1"/>
  <c r="AA40" i="1" l="1"/>
  <c r="AB40" i="1" s="1"/>
  <c r="AC40" i="1" s="1"/>
  <c r="AA41" i="1" l="1"/>
  <c r="AB41" i="1" s="1"/>
  <c r="AC41" i="1" l="1"/>
  <c r="AC42" i="1" l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L41" i="1"/>
  <c r="L43" i="1"/>
  <c r="L44" i="1"/>
  <c r="L45" i="1"/>
  <c r="L46" i="1"/>
  <c r="L47" i="1"/>
  <c r="L48" i="1"/>
  <c r="L49" i="1"/>
  <c r="L50" i="1"/>
  <c r="L51" i="1"/>
  <c r="L52" i="1"/>
  <c r="AC78" i="1" l="1"/>
  <c r="O14" i="1"/>
  <c r="S17" i="1"/>
  <c r="S18" i="1" s="1"/>
  <c r="S19" i="1" s="1"/>
  <c r="S20" i="1" s="1"/>
  <c r="S21" i="1" s="1"/>
  <c r="S22" i="1" s="1"/>
  <c r="S23" i="1" s="1"/>
  <c r="S24" i="1" s="1"/>
  <c r="S26" i="1" s="1"/>
  <c r="S30" i="1" s="1"/>
  <c r="S32" i="1" s="1"/>
  <c r="T22" i="1"/>
  <c r="T32" i="1"/>
  <c r="C40" i="1"/>
  <c r="D40" i="1"/>
  <c r="M40" i="1" s="1"/>
  <c r="L54" i="1"/>
  <c r="L56" i="1"/>
  <c r="L58" i="1"/>
  <c r="L60" i="1"/>
  <c r="L62" i="1"/>
  <c r="L64" i="1"/>
  <c r="L66" i="1"/>
  <c r="L68" i="1"/>
  <c r="L70" i="1"/>
  <c r="L72" i="1"/>
  <c r="L74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75" i="1"/>
  <c r="L71" i="1"/>
  <c r="L67" i="1"/>
  <c r="L63" i="1"/>
  <c r="L59" i="1"/>
  <c r="L55" i="1"/>
  <c r="L73" i="1"/>
  <c r="L69" i="1"/>
  <c r="L65" i="1"/>
  <c r="L61" i="1"/>
  <c r="L57" i="1"/>
  <c r="L53" i="1"/>
  <c r="L113" i="1" l="1"/>
  <c r="AG40" i="1"/>
  <c r="AF40" i="1"/>
  <c r="AF41" i="1"/>
  <c r="AG41" i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F42" i="1"/>
  <c r="AA42" i="1"/>
  <c r="AB42" i="1" s="1"/>
  <c r="AC79" i="1"/>
  <c r="G22" i="1"/>
  <c r="G23" i="1" s="1"/>
  <c r="Q40" i="1"/>
  <c r="P41" i="1"/>
  <c r="E40" i="1"/>
  <c r="D41" i="1" s="1"/>
  <c r="L39" i="1"/>
  <c r="Q41" i="1"/>
  <c r="C42" i="1" l="1"/>
  <c r="AA43" i="1" s="1"/>
  <c r="AB43" i="1" s="1"/>
  <c r="O41" i="1"/>
  <c r="W41" i="1"/>
  <c r="H41" i="1" s="1"/>
  <c r="AC80" i="1"/>
  <c r="S41" i="1"/>
  <c r="AF43" i="1" l="1"/>
  <c r="C43" i="1" s="1"/>
  <c r="AA44" i="1" s="1"/>
  <c r="AB44" i="1" s="1"/>
  <c r="Q42" i="1"/>
  <c r="O42" i="1" s="1"/>
  <c r="P42" i="1"/>
  <c r="AC81" i="1"/>
  <c r="AF44" i="1" l="1"/>
  <c r="Q43" i="1"/>
  <c r="O43" i="1" s="1"/>
  <c r="P43" i="1"/>
  <c r="AC82" i="1"/>
  <c r="C44" i="1" l="1"/>
  <c r="AC83" i="1"/>
  <c r="P44" i="1" l="1"/>
  <c r="Q44" i="1"/>
  <c r="O44" i="1" s="1"/>
  <c r="AA45" i="1"/>
  <c r="AB45" i="1" s="1"/>
  <c r="AF45" i="1"/>
  <c r="AC84" i="1"/>
  <c r="C45" i="1" l="1"/>
  <c r="AF46" i="1" s="1"/>
  <c r="AC85" i="1"/>
  <c r="C46" i="1" l="1"/>
  <c r="AA46" i="1"/>
  <c r="AB46" i="1" s="1"/>
  <c r="Q45" i="1"/>
  <c r="O45" i="1" s="1"/>
  <c r="P45" i="1"/>
  <c r="AC86" i="1"/>
  <c r="Q46" i="1" l="1"/>
  <c r="O46" i="1" s="1"/>
  <c r="AA47" i="1"/>
  <c r="AB47" i="1" s="1"/>
  <c r="P46" i="1"/>
  <c r="AF47" i="1"/>
  <c r="AC87" i="1"/>
  <c r="C47" i="1" l="1"/>
  <c r="AC88" i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Q47" i="1" l="1"/>
  <c r="O47" i="1" s="1"/>
  <c r="AA48" i="1"/>
  <c r="AB48" i="1" s="1"/>
  <c r="P47" i="1"/>
  <c r="AF48" i="1"/>
  <c r="C48" i="1" l="1"/>
  <c r="Q48" i="1" l="1"/>
  <c r="O48" i="1" s="1"/>
  <c r="AA49" i="1"/>
  <c r="AB49" i="1" s="1"/>
  <c r="P48" i="1"/>
  <c r="AF49" i="1"/>
  <c r="C49" i="1" l="1"/>
  <c r="AA50" i="1" l="1"/>
  <c r="AB50" i="1" s="1"/>
  <c r="Q49" i="1"/>
  <c r="O49" i="1" s="1"/>
  <c r="P49" i="1"/>
  <c r="AF50" i="1"/>
  <c r="C50" i="1" l="1"/>
  <c r="Q50" i="1" l="1"/>
  <c r="O50" i="1" s="1"/>
  <c r="P50" i="1"/>
  <c r="AA51" i="1"/>
  <c r="AB51" i="1" s="1"/>
  <c r="AF51" i="1"/>
  <c r="C51" i="1" l="1"/>
  <c r="P51" i="1" l="1"/>
  <c r="Q51" i="1"/>
  <c r="O51" i="1" s="1"/>
  <c r="AA52" i="1"/>
  <c r="AB52" i="1" s="1"/>
  <c r="AF52" i="1"/>
  <c r="C52" i="1" l="1"/>
  <c r="AF53" i="1" s="1"/>
  <c r="C53" i="1" l="1"/>
  <c r="Q52" i="1"/>
  <c r="O52" i="1" s="1"/>
  <c r="AA53" i="1"/>
  <c r="AB53" i="1" s="1"/>
  <c r="P52" i="1"/>
  <c r="P53" i="1" l="1"/>
  <c r="AA54" i="1"/>
  <c r="AB54" i="1" s="1"/>
  <c r="Q53" i="1"/>
  <c r="O53" i="1" s="1"/>
  <c r="AF54" i="1"/>
  <c r="C54" i="1" l="1"/>
  <c r="Q54" i="1" l="1"/>
  <c r="O54" i="1" s="1"/>
  <c r="P54" i="1"/>
  <c r="AA55" i="1"/>
  <c r="AB55" i="1" s="1"/>
  <c r="AF55" i="1"/>
  <c r="C55" i="1" l="1"/>
  <c r="AF56" i="1" s="1"/>
  <c r="C56" i="1" l="1"/>
  <c r="Q55" i="1"/>
  <c r="O55" i="1" s="1"/>
  <c r="AA56" i="1"/>
  <c r="AB56" i="1" s="1"/>
  <c r="P55" i="1"/>
  <c r="AA57" i="1" l="1"/>
  <c r="AB57" i="1" s="1"/>
  <c r="Q56" i="1"/>
  <c r="O56" i="1" s="1"/>
  <c r="P56" i="1"/>
  <c r="AF57" i="1"/>
  <c r="C57" i="1" l="1"/>
  <c r="AF58" i="1" s="1"/>
  <c r="C58" i="1" l="1"/>
  <c r="Q57" i="1"/>
  <c r="O57" i="1" s="1"/>
  <c r="P57" i="1"/>
  <c r="AA58" i="1"/>
  <c r="AB58" i="1" s="1"/>
  <c r="Q58" i="1" l="1"/>
  <c r="O58" i="1" s="1"/>
  <c r="AA59" i="1"/>
  <c r="AB59" i="1" s="1"/>
  <c r="P58" i="1"/>
  <c r="AF59" i="1"/>
  <c r="C59" i="1" l="1"/>
  <c r="P59" i="1" l="1"/>
  <c r="Q59" i="1"/>
  <c r="O59" i="1" s="1"/>
  <c r="AA60" i="1"/>
  <c r="AB60" i="1" s="1"/>
  <c r="AF60" i="1"/>
  <c r="C60" i="1" l="1"/>
  <c r="AA61" i="1" l="1"/>
  <c r="AB61" i="1" s="1"/>
  <c r="Q60" i="1"/>
  <c r="O60" i="1" s="1"/>
  <c r="P60" i="1"/>
  <c r="AF61" i="1"/>
  <c r="C61" i="1" l="1"/>
  <c r="Q61" i="1" l="1"/>
  <c r="O61" i="1" s="1"/>
  <c r="P61" i="1"/>
  <c r="AA62" i="1"/>
  <c r="AB62" i="1" s="1"/>
  <c r="AF62" i="1"/>
  <c r="C62" i="1" l="1"/>
  <c r="Q62" i="1" l="1"/>
  <c r="O62" i="1" s="1"/>
  <c r="P62" i="1"/>
  <c r="AA63" i="1"/>
  <c r="AB63" i="1" s="1"/>
  <c r="AF63" i="1"/>
  <c r="C63" i="1" l="1"/>
  <c r="P63" i="1" l="1"/>
  <c r="AA64" i="1"/>
  <c r="AB64" i="1" s="1"/>
  <c r="Q63" i="1"/>
  <c r="O63" i="1" s="1"/>
  <c r="AF64" i="1"/>
  <c r="C64" i="1" l="1"/>
  <c r="P64" i="1" l="1"/>
  <c r="AA65" i="1"/>
  <c r="AB65" i="1" s="1"/>
  <c r="Q64" i="1"/>
  <c r="O64" i="1" s="1"/>
  <c r="AF65" i="1"/>
  <c r="C65" i="1" l="1"/>
  <c r="AA66" i="1" l="1"/>
  <c r="AB66" i="1" s="1"/>
  <c r="Q65" i="1"/>
  <c r="O65" i="1" s="1"/>
  <c r="P65" i="1"/>
  <c r="AF66" i="1"/>
  <c r="C66" i="1" l="1"/>
  <c r="Q66" i="1" l="1"/>
  <c r="O66" i="1" s="1"/>
  <c r="AA67" i="1"/>
  <c r="AB67" i="1" s="1"/>
  <c r="P66" i="1"/>
  <c r="AF67" i="1"/>
  <c r="C67" i="1" l="1"/>
  <c r="P67" i="1" l="1"/>
  <c r="AA68" i="1"/>
  <c r="AB68" i="1" s="1"/>
  <c r="Q67" i="1"/>
  <c r="O67" i="1" s="1"/>
  <c r="AF68" i="1"/>
  <c r="C68" i="1" l="1"/>
  <c r="P68" i="1" l="1"/>
  <c r="Q68" i="1"/>
  <c r="O68" i="1" s="1"/>
  <c r="AA69" i="1"/>
  <c r="AB69" i="1" s="1"/>
  <c r="AF69" i="1"/>
  <c r="C69" i="1" l="1"/>
  <c r="P69" i="1" l="1"/>
  <c r="AA70" i="1"/>
  <c r="AB70" i="1" s="1"/>
  <c r="Q69" i="1"/>
  <c r="O69" i="1" s="1"/>
  <c r="AF70" i="1"/>
  <c r="C70" i="1" l="1"/>
  <c r="AA71" i="1" l="1"/>
  <c r="AB71" i="1" s="1"/>
  <c r="P70" i="1"/>
  <c r="Q70" i="1"/>
  <c r="O70" i="1" s="1"/>
  <c r="AF71" i="1"/>
  <c r="C71" i="1" l="1"/>
  <c r="AA72" i="1" l="1"/>
  <c r="AB72" i="1" s="1"/>
  <c r="Q71" i="1"/>
  <c r="O71" i="1" s="1"/>
  <c r="P71" i="1"/>
  <c r="AF72" i="1"/>
  <c r="C72" i="1" l="1"/>
  <c r="AA73" i="1" l="1"/>
  <c r="AB73" i="1" s="1"/>
  <c r="Q72" i="1"/>
  <c r="O72" i="1" s="1"/>
  <c r="P72" i="1"/>
  <c r="AF73" i="1"/>
  <c r="C73" i="1" l="1"/>
  <c r="AA74" i="1" l="1"/>
  <c r="AB74" i="1" s="1"/>
  <c r="Q73" i="1"/>
  <c r="O73" i="1" s="1"/>
  <c r="P73" i="1"/>
  <c r="AF74" i="1"/>
  <c r="C74" i="1" l="1"/>
  <c r="P74" i="1" l="1"/>
  <c r="AA75" i="1"/>
  <c r="AB75" i="1" s="1"/>
  <c r="Q74" i="1"/>
  <c r="O74" i="1" s="1"/>
  <c r="AF75" i="1"/>
  <c r="C75" i="1" l="1"/>
  <c r="AA76" i="1" l="1"/>
  <c r="AB76" i="1" s="1"/>
  <c r="P75" i="1"/>
  <c r="Q75" i="1"/>
  <c r="O75" i="1" s="1"/>
  <c r="AF76" i="1"/>
  <c r="C76" i="1" l="1"/>
  <c r="AA77" i="1" l="1"/>
  <c r="AB77" i="1" s="1"/>
  <c r="Q76" i="1"/>
  <c r="O76" i="1" s="1"/>
  <c r="P76" i="1"/>
  <c r="AF77" i="1"/>
  <c r="C77" i="1" l="1"/>
  <c r="AA78" i="1" l="1"/>
  <c r="AB78" i="1" s="1"/>
  <c r="P77" i="1"/>
  <c r="Q77" i="1"/>
  <c r="O77" i="1" s="1"/>
  <c r="AF78" i="1"/>
  <c r="C78" i="1" l="1"/>
  <c r="AA79" i="1" l="1"/>
  <c r="AB79" i="1" s="1"/>
  <c r="Q78" i="1"/>
  <c r="O78" i="1" s="1"/>
  <c r="P78" i="1"/>
  <c r="AF79" i="1"/>
  <c r="C79" i="1" l="1"/>
  <c r="Q79" i="1" l="1"/>
  <c r="O79" i="1" s="1"/>
  <c r="P79" i="1"/>
  <c r="AA80" i="1"/>
  <c r="AB80" i="1" s="1"/>
  <c r="AF80" i="1"/>
  <c r="C80" i="1" l="1"/>
  <c r="Q80" i="1" l="1"/>
  <c r="O80" i="1" s="1"/>
  <c r="P80" i="1"/>
  <c r="AA81" i="1"/>
  <c r="AB81" i="1" s="1"/>
  <c r="AF81" i="1"/>
  <c r="C81" i="1" l="1"/>
  <c r="P81" i="1" l="1"/>
  <c r="AA82" i="1"/>
  <c r="AB82" i="1" s="1"/>
  <c r="Q81" i="1"/>
  <c r="O81" i="1" s="1"/>
  <c r="AF82" i="1"/>
  <c r="C82" i="1" l="1"/>
  <c r="Q82" i="1" l="1"/>
  <c r="O82" i="1" s="1"/>
  <c r="AA83" i="1"/>
  <c r="AB83" i="1" s="1"/>
  <c r="P82" i="1"/>
  <c r="AF83" i="1"/>
  <c r="C83" i="1" l="1"/>
  <c r="AA84" i="1" l="1"/>
  <c r="AB84" i="1" s="1"/>
  <c r="P83" i="1"/>
  <c r="Q83" i="1"/>
  <c r="O83" i="1" s="1"/>
  <c r="AF84" i="1"/>
  <c r="C84" i="1" l="1"/>
  <c r="AA85" i="1" l="1"/>
  <c r="AB85" i="1" s="1"/>
  <c r="Q84" i="1"/>
  <c r="O84" i="1" s="1"/>
  <c r="P84" i="1"/>
  <c r="AF85" i="1"/>
  <c r="C85" i="1" l="1"/>
  <c r="AA86" i="1" l="1"/>
  <c r="AB86" i="1" s="1"/>
  <c r="P85" i="1"/>
  <c r="Q85" i="1"/>
  <c r="O85" i="1" s="1"/>
  <c r="AF86" i="1"/>
  <c r="C86" i="1" l="1"/>
  <c r="P86" i="1" l="1"/>
  <c r="Q86" i="1"/>
  <c r="O86" i="1" s="1"/>
  <c r="AA87" i="1"/>
  <c r="AB87" i="1" s="1"/>
  <c r="AF87" i="1"/>
  <c r="C87" i="1" l="1"/>
  <c r="P87" i="1" l="1"/>
  <c r="AA88" i="1"/>
  <c r="AB88" i="1" s="1"/>
  <c r="Q87" i="1"/>
  <c r="O87" i="1" s="1"/>
  <c r="AF88" i="1"/>
  <c r="C88" i="1" s="1"/>
  <c r="AF89" i="1" l="1"/>
  <c r="C89" i="1" s="1"/>
  <c r="AA89" i="1"/>
  <c r="AB89" i="1" s="1"/>
  <c r="P88" i="1"/>
  <c r="Q88" i="1"/>
  <c r="O88" i="1" s="1"/>
  <c r="AA90" i="1" l="1"/>
  <c r="AB90" i="1" s="1"/>
  <c r="AF90" i="1"/>
  <c r="C90" i="1" s="1"/>
  <c r="Q89" i="1"/>
  <c r="O89" i="1" s="1"/>
  <c r="P89" i="1"/>
  <c r="AF91" i="1" l="1"/>
  <c r="C91" i="1" s="1"/>
  <c r="AA91" i="1"/>
  <c r="AB91" i="1" s="1"/>
  <c r="Q90" i="1"/>
  <c r="O90" i="1" s="1"/>
  <c r="P90" i="1"/>
  <c r="AA92" i="1" l="1"/>
  <c r="AB92" i="1" s="1"/>
  <c r="AF92" i="1"/>
  <c r="C92" i="1" s="1"/>
  <c r="Q91" i="1"/>
  <c r="O91" i="1" s="1"/>
  <c r="P91" i="1"/>
  <c r="AA93" i="1" l="1"/>
  <c r="AB93" i="1" s="1"/>
  <c r="AF93" i="1"/>
  <c r="C93" i="1" s="1"/>
  <c r="P92" i="1"/>
  <c r="Q92" i="1"/>
  <c r="O92" i="1" s="1"/>
  <c r="AA94" i="1" l="1"/>
  <c r="AB94" i="1" s="1"/>
  <c r="AF94" i="1"/>
  <c r="C94" i="1" s="1"/>
  <c r="P93" i="1"/>
  <c r="Q93" i="1"/>
  <c r="O93" i="1" s="1"/>
  <c r="AF95" i="1" l="1"/>
  <c r="C95" i="1" s="1"/>
  <c r="AA95" i="1"/>
  <c r="AB95" i="1" s="1"/>
  <c r="Q94" i="1"/>
  <c r="O94" i="1" s="1"/>
  <c r="P94" i="1"/>
  <c r="AA96" i="1" l="1"/>
  <c r="AB96" i="1" s="1"/>
  <c r="AF96" i="1"/>
  <c r="C96" i="1" s="1"/>
  <c r="Q95" i="1"/>
  <c r="O95" i="1" s="1"/>
  <c r="P95" i="1"/>
  <c r="AA97" i="1" l="1"/>
  <c r="AB97" i="1" s="1"/>
  <c r="AF97" i="1"/>
  <c r="C97" i="1" s="1"/>
  <c r="Q96" i="1"/>
  <c r="O96" i="1" s="1"/>
  <c r="P96" i="1"/>
  <c r="AF98" i="1" l="1"/>
  <c r="C98" i="1" s="1"/>
  <c r="AA98" i="1"/>
  <c r="AB98" i="1" s="1"/>
  <c r="Q97" i="1"/>
  <c r="O97" i="1" s="1"/>
  <c r="P97" i="1"/>
  <c r="AF99" i="1" l="1"/>
  <c r="C99" i="1" s="1"/>
  <c r="AA99" i="1"/>
  <c r="AB99" i="1" s="1"/>
  <c r="P98" i="1"/>
  <c r="Q98" i="1"/>
  <c r="O98" i="1" s="1"/>
  <c r="AA100" i="1" l="1"/>
  <c r="AB100" i="1" s="1"/>
  <c r="AF100" i="1"/>
  <c r="C100" i="1" s="1"/>
  <c r="Q99" i="1"/>
  <c r="O99" i="1" s="1"/>
  <c r="P99" i="1"/>
  <c r="AA101" i="1" l="1"/>
  <c r="AB101" i="1" s="1"/>
  <c r="AF101" i="1"/>
  <c r="C101" i="1" s="1"/>
  <c r="P100" i="1"/>
  <c r="Q100" i="1"/>
  <c r="O100" i="1" s="1"/>
  <c r="AA102" i="1" l="1"/>
  <c r="AB102" i="1" s="1"/>
  <c r="AF102" i="1"/>
  <c r="C102" i="1" s="1"/>
  <c r="Q101" i="1"/>
  <c r="O101" i="1" s="1"/>
  <c r="P101" i="1"/>
  <c r="AF103" i="1" l="1"/>
  <c r="C103" i="1" s="1"/>
  <c r="AA103" i="1"/>
  <c r="AB103" i="1" s="1"/>
  <c r="P102" i="1"/>
  <c r="Q102" i="1"/>
  <c r="O102" i="1" s="1"/>
  <c r="AF104" i="1" l="1"/>
  <c r="C104" i="1" s="1"/>
  <c r="AA104" i="1"/>
  <c r="AB104" i="1" s="1"/>
  <c r="Q103" i="1"/>
  <c r="O103" i="1" s="1"/>
  <c r="P103" i="1"/>
  <c r="AA105" i="1" l="1"/>
  <c r="AB105" i="1" s="1"/>
  <c r="AF105" i="1"/>
  <c r="C105" i="1" s="1"/>
  <c r="Q104" i="1"/>
  <c r="O104" i="1" s="1"/>
  <c r="P104" i="1"/>
  <c r="AA106" i="1" l="1"/>
  <c r="AB106" i="1" s="1"/>
  <c r="AF106" i="1"/>
  <c r="C106" i="1" s="1"/>
  <c r="P105" i="1"/>
  <c r="Q105" i="1"/>
  <c r="O105" i="1" s="1"/>
  <c r="AF107" i="1" l="1"/>
  <c r="C107" i="1" s="1"/>
  <c r="AA107" i="1"/>
  <c r="AB107" i="1" s="1"/>
  <c r="P106" i="1"/>
  <c r="Q106" i="1"/>
  <c r="O106" i="1" s="1"/>
  <c r="AF108" i="1" l="1"/>
  <c r="C108" i="1" s="1"/>
  <c r="AA108" i="1"/>
  <c r="AB108" i="1" s="1"/>
  <c r="Q107" i="1"/>
  <c r="O107" i="1" s="1"/>
  <c r="P107" i="1"/>
  <c r="AA109" i="1" l="1"/>
  <c r="AB109" i="1" s="1"/>
  <c r="AF109" i="1"/>
  <c r="C109" i="1" s="1"/>
  <c r="Q108" i="1"/>
  <c r="O108" i="1" s="1"/>
  <c r="P108" i="1"/>
  <c r="AA110" i="1" l="1"/>
  <c r="AB110" i="1" s="1"/>
  <c r="AF110" i="1"/>
  <c r="C110" i="1" s="1"/>
  <c r="Q109" i="1"/>
  <c r="O109" i="1" s="1"/>
  <c r="P109" i="1"/>
  <c r="AF111" i="1" l="1"/>
  <c r="C111" i="1" s="1"/>
  <c r="AA111" i="1"/>
  <c r="AB111" i="1" s="1"/>
  <c r="P110" i="1"/>
  <c r="Q110" i="1"/>
  <c r="O110" i="1" s="1"/>
  <c r="AF112" i="1" l="1"/>
  <c r="C112" i="1" s="1"/>
  <c r="AA112" i="1"/>
  <c r="AB112" i="1" s="1"/>
  <c r="P111" i="1"/>
  <c r="Q111" i="1"/>
  <c r="O111" i="1" s="1"/>
  <c r="AF113" i="1" l="1"/>
  <c r="P112" i="1"/>
  <c r="E24" i="1" s="1"/>
  <c r="Q112" i="1"/>
  <c r="O112" i="1" s="1"/>
  <c r="E30" i="1" l="1"/>
  <c r="G41" i="1"/>
  <c r="F41" i="1" s="1"/>
  <c r="K41" i="1" s="1"/>
  <c r="M41" i="1" s="1"/>
  <c r="T41" i="1" l="1"/>
  <c r="E41" i="1" l="1"/>
  <c r="D42" i="1" s="1"/>
  <c r="S42" i="1" l="1"/>
  <c r="W42" i="1"/>
  <c r="H42" i="1" s="1"/>
  <c r="G42" i="1" l="1"/>
  <c r="F42" i="1" s="1"/>
  <c r="K42" i="1" l="1"/>
  <c r="M42" i="1" s="1"/>
  <c r="T42" i="1"/>
  <c r="E42" i="1" l="1"/>
  <c r="D43" i="1" l="1"/>
  <c r="W43" i="1" l="1"/>
  <c r="H43" i="1" s="1"/>
  <c r="S43" i="1"/>
  <c r="G43" i="1" l="1"/>
  <c r="F43" i="1" s="1"/>
  <c r="K43" i="1" l="1"/>
  <c r="M43" i="1" s="1"/>
  <c r="T43" i="1"/>
  <c r="E43" i="1" l="1"/>
  <c r="D44" i="1" l="1"/>
  <c r="W44" i="1" l="1"/>
  <c r="H44" i="1" s="1"/>
  <c r="S44" i="1"/>
  <c r="G44" i="1" l="1"/>
  <c r="F44" i="1" s="1"/>
  <c r="K44" i="1" l="1"/>
  <c r="M44" i="1" s="1"/>
  <c r="T44" i="1"/>
  <c r="E44" i="1" l="1"/>
  <c r="D45" i="1" l="1"/>
  <c r="W45" i="1" l="1"/>
  <c r="H45" i="1" s="1"/>
  <c r="S45" i="1"/>
  <c r="G45" i="1" l="1"/>
  <c r="F45" i="1" s="1"/>
  <c r="K45" i="1" l="1"/>
  <c r="M45" i="1" s="1"/>
  <c r="T45" i="1"/>
  <c r="E45" i="1" l="1"/>
  <c r="D46" i="1" l="1"/>
  <c r="S46" i="1" l="1"/>
  <c r="W46" i="1"/>
  <c r="H46" i="1" s="1"/>
  <c r="G46" i="1" l="1"/>
  <c r="F46" i="1" s="1"/>
  <c r="K46" i="1" l="1"/>
  <c r="M46" i="1" s="1"/>
  <c r="T46" i="1"/>
  <c r="E46" i="1"/>
  <c r="D47" i="1" s="1"/>
  <c r="W47" i="1" s="1"/>
  <c r="H47" i="1" s="1"/>
  <c r="S47" i="1" l="1"/>
  <c r="G47" i="1" s="1"/>
  <c r="F47" i="1" l="1"/>
  <c r="E47" i="1" s="1"/>
  <c r="D48" i="1" s="1"/>
  <c r="T47" i="1" l="1"/>
  <c r="S48" i="1" s="1"/>
  <c r="K47" i="1"/>
  <c r="M47" i="1" s="1"/>
  <c r="W48" i="1"/>
  <c r="H48" i="1" s="1"/>
  <c r="G48" i="1" l="1"/>
  <c r="F48" i="1" s="1"/>
  <c r="K48" i="1" l="1"/>
  <c r="M48" i="1" s="1"/>
  <c r="T48" i="1"/>
  <c r="E48" i="1" l="1"/>
  <c r="D49" i="1" s="1"/>
  <c r="S49" i="1" l="1"/>
  <c r="W49" i="1"/>
  <c r="H49" i="1" s="1"/>
  <c r="G49" i="1" l="1"/>
  <c r="T49" i="1" s="1"/>
  <c r="F49" i="1" l="1"/>
  <c r="E49" i="1" s="1"/>
  <c r="D50" i="1" s="1"/>
  <c r="W50" i="1" s="1"/>
  <c r="H50" i="1" s="1"/>
  <c r="S50" i="1" l="1"/>
  <c r="K49" i="1"/>
  <c r="M49" i="1" s="1"/>
  <c r="G50" i="1" l="1"/>
  <c r="F50" i="1" s="1"/>
  <c r="E50" i="1" s="1"/>
  <c r="D51" i="1" s="1"/>
  <c r="W51" i="1" s="1"/>
  <c r="H51" i="1" s="1"/>
  <c r="K50" i="1" l="1"/>
  <c r="M50" i="1" s="1"/>
  <c r="T50" i="1"/>
  <c r="S51" i="1" s="1"/>
  <c r="G51" i="1" s="1"/>
  <c r="F51" i="1" s="1"/>
  <c r="E51" i="1" s="1"/>
  <c r="D52" i="1" s="1"/>
  <c r="W52" i="1" l="1"/>
  <c r="H52" i="1" s="1"/>
  <c r="K51" i="1"/>
  <c r="M51" i="1" s="1"/>
  <c r="T51" i="1"/>
  <c r="S52" i="1" s="1"/>
  <c r="G52" i="1" l="1"/>
  <c r="F52" i="1" s="1"/>
  <c r="E52" i="1" s="1"/>
  <c r="D53" i="1" s="1"/>
  <c r="W53" i="1" s="1"/>
  <c r="H53" i="1" s="1"/>
  <c r="T52" i="1" l="1"/>
  <c r="S53" i="1" s="1"/>
  <c r="G53" i="1" s="1"/>
  <c r="K52" i="1"/>
  <c r="M52" i="1" s="1"/>
  <c r="F53" i="1" l="1"/>
  <c r="E53" i="1" s="1"/>
  <c r="D54" i="1" s="1"/>
  <c r="W54" i="1" s="1"/>
  <c r="H54" i="1" s="1"/>
  <c r="T53" i="1" l="1"/>
  <c r="S54" i="1" s="1"/>
  <c r="K53" i="1"/>
  <c r="M53" i="1" s="1"/>
  <c r="G54" i="1" l="1"/>
  <c r="F54" i="1" s="1"/>
  <c r="E54" i="1" s="1"/>
  <c r="D55" i="1" s="1"/>
  <c r="T54" i="1" l="1"/>
  <c r="S55" i="1" s="1"/>
  <c r="K54" i="1"/>
  <c r="M54" i="1" s="1"/>
  <c r="W55" i="1"/>
  <c r="H55" i="1" s="1"/>
  <c r="G55" i="1" l="1"/>
  <c r="T55" i="1" s="1"/>
  <c r="F55" i="1" l="1"/>
  <c r="E55" i="1" s="1"/>
  <c r="D56" i="1" s="1"/>
  <c r="W56" i="1" s="1"/>
  <c r="H56" i="1" s="1"/>
  <c r="S56" i="1" l="1"/>
  <c r="K55" i="1"/>
  <c r="M55" i="1" s="1"/>
  <c r="G56" i="1" l="1"/>
  <c r="F56" i="1" s="1"/>
  <c r="E56" i="1" l="1"/>
  <c r="D57" i="1" s="1"/>
  <c r="W57" i="1" s="1"/>
  <c r="H57" i="1" s="1"/>
  <c r="K56" i="1"/>
  <c r="M56" i="1" s="1"/>
  <c r="T56" i="1"/>
  <c r="S57" i="1" l="1"/>
  <c r="G57" i="1" s="1"/>
  <c r="F57" i="1" s="1"/>
  <c r="E57" i="1" s="1"/>
  <c r="D58" i="1" s="1"/>
  <c r="K57" i="1" l="1"/>
  <c r="M57" i="1" s="1"/>
  <c r="W58" i="1"/>
  <c r="H58" i="1" s="1"/>
  <c r="T57" i="1"/>
  <c r="S58" i="1" s="1"/>
  <c r="G58" i="1" l="1"/>
  <c r="F58" i="1" s="1"/>
  <c r="E58" i="1" s="1"/>
  <c r="D59" i="1" s="1"/>
  <c r="W59" i="1" s="1"/>
  <c r="H59" i="1" s="1"/>
  <c r="T58" i="1" l="1"/>
  <c r="S59" i="1" s="1"/>
  <c r="G59" i="1" s="1"/>
  <c r="F59" i="1" s="1"/>
  <c r="E59" i="1" s="1"/>
  <c r="D60" i="1" s="1"/>
  <c r="K58" i="1"/>
  <c r="M58" i="1" s="1"/>
  <c r="K59" i="1" l="1"/>
  <c r="M59" i="1" s="1"/>
  <c r="T59" i="1"/>
  <c r="S60" i="1" s="1"/>
  <c r="W60" i="1"/>
  <c r="H60" i="1" s="1"/>
  <c r="G60" i="1" l="1"/>
  <c r="F60" i="1" s="1"/>
  <c r="K60" i="1" l="1"/>
  <c r="M60" i="1" s="1"/>
  <c r="T60" i="1"/>
  <c r="E60" i="1" l="1"/>
  <c r="D61" i="1" s="1"/>
  <c r="W61" i="1" s="1"/>
  <c r="H61" i="1" s="1"/>
  <c r="S61" i="1" l="1"/>
  <c r="G61" i="1" s="1"/>
  <c r="F61" i="1" l="1"/>
  <c r="E61" i="1" s="1"/>
  <c r="D62" i="1" s="1"/>
  <c r="W62" i="1" l="1"/>
  <c r="H62" i="1" s="1"/>
  <c r="K61" i="1"/>
  <c r="M61" i="1" s="1"/>
  <c r="T61" i="1"/>
  <c r="S62" i="1" s="1"/>
  <c r="G62" i="1" l="1"/>
  <c r="T62" i="1" s="1"/>
  <c r="F62" i="1" l="1"/>
  <c r="E62" i="1" s="1"/>
  <c r="D63" i="1" s="1"/>
  <c r="S63" i="1" s="1"/>
  <c r="K62" i="1" l="1"/>
  <c r="M62" i="1" s="1"/>
  <c r="W63" i="1"/>
  <c r="H63" i="1" s="1"/>
  <c r="G63" i="1" s="1"/>
  <c r="T63" i="1" l="1"/>
  <c r="F63" i="1"/>
  <c r="E63" i="1" s="1"/>
  <c r="D64" i="1" s="1"/>
  <c r="W64" i="1" s="1"/>
  <c r="H64" i="1" s="1"/>
  <c r="K63" i="1" l="1"/>
  <c r="M63" i="1" s="1"/>
  <c r="S64" i="1"/>
  <c r="G64" i="1" s="1"/>
  <c r="F64" i="1" s="1"/>
  <c r="E64" i="1" s="1"/>
  <c r="D65" i="1" s="1"/>
  <c r="T64" i="1" l="1"/>
  <c r="S65" i="1" s="1"/>
  <c r="W65" i="1"/>
  <c r="H65" i="1" s="1"/>
  <c r="K64" i="1"/>
  <c r="M64" i="1" s="1"/>
  <c r="G65" i="1" l="1"/>
  <c r="T65" i="1" s="1"/>
  <c r="F65" i="1" l="1"/>
  <c r="E65" i="1" s="1"/>
  <c r="D66" i="1" s="1"/>
  <c r="S66" i="1" s="1"/>
  <c r="K65" i="1" l="1"/>
  <c r="M65" i="1" s="1"/>
  <c r="W66" i="1"/>
  <c r="H66" i="1" s="1"/>
  <c r="G66" i="1" s="1"/>
  <c r="T66" i="1" s="1"/>
  <c r="F66" i="1" l="1"/>
  <c r="E66" i="1" s="1"/>
  <c r="D67" i="1" s="1"/>
  <c r="S67" i="1" s="1"/>
  <c r="K66" i="1" l="1"/>
  <c r="M66" i="1" s="1"/>
  <c r="W67" i="1"/>
  <c r="H67" i="1" s="1"/>
  <c r="G67" i="1" s="1"/>
  <c r="T67" i="1" s="1"/>
  <c r="F67" i="1" l="1"/>
  <c r="E67" i="1" s="1"/>
  <c r="D68" i="1" s="1"/>
  <c r="W68" i="1" l="1"/>
  <c r="H68" i="1" s="1"/>
  <c r="S68" i="1"/>
  <c r="K67" i="1"/>
  <c r="M67" i="1" s="1"/>
  <c r="G68" i="1" l="1"/>
  <c r="I39" i="1"/>
  <c r="T68" i="1" l="1"/>
  <c r="F68" i="1"/>
  <c r="E68" i="1" s="1"/>
  <c r="D69" i="1" s="1"/>
  <c r="W69" i="1" l="1"/>
  <c r="H69" i="1" s="1"/>
  <c r="S69" i="1"/>
  <c r="K68" i="1"/>
  <c r="M68" i="1" s="1"/>
  <c r="G69" i="1" l="1"/>
  <c r="T69" i="1" s="1"/>
  <c r="F69" i="1" l="1"/>
  <c r="E69" i="1" s="1"/>
  <c r="D70" i="1" s="1"/>
  <c r="S70" i="1" s="1"/>
  <c r="K69" i="1" l="1"/>
  <c r="M69" i="1" s="1"/>
  <c r="W70" i="1"/>
  <c r="H70" i="1" s="1"/>
  <c r="G70" i="1" l="1"/>
  <c r="F70" i="1" s="1"/>
  <c r="E70" i="1" s="1"/>
  <c r="D71" i="1" s="1"/>
  <c r="W71" i="1" s="1"/>
  <c r="H71" i="1" s="1"/>
  <c r="K70" i="1" l="1"/>
  <c r="M70" i="1" s="1"/>
  <c r="T70" i="1"/>
  <c r="S71" i="1" s="1"/>
  <c r="G71" i="1" s="1"/>
  <c r="F71" i="1" s="1"/>
  <c r="E71" i="1" s="1"/>
  <c r="D72" i="1" s="1"/>
  <c r="W72" i="1" s="1"/>
  <c r="H72" i="1" s="1"/>
  <c r="T71" i="1" l="1"/>
  <c r="S72" i="1" s="1"/>
  <c r="G72" i="1" s="1"/>
  <c r="K71" i="1"/>
  <c r="M71" i="1" s="1"/>
  <c r="T72" i="1" l="1"/>
  <c r="F72" i="1"/>
  <c r="E72" i="1" s="1"/>
  <c r="D73" i="1" s="1"/>
  <c r="W73" i="1" l="1"/>
  <c r="H73" i="1" s="1"/>
  <c r="S73" i="1"/>
  <c r="K72" i="1"/>
  <c r="M72" i="1" s="1"/>
  <c r="G73" i="1" l="1"/>
  <c r="T73" i="1" s="1"/>
  <c r="F73" i="1" l="1"/>
  <c r="E73" i="1" s="1"/>
  <c r="D74" i="1" s="1"/>
  <c r="W74" i="1" s="1"/>
  <c r="H74" i="1" s="1"/>
  <c r="K73" i="1" l="1"/>
  <c r="M73" i="1" s="1"/>
  <c r="S74" i="1"/>
  <c r="G74" i="1" s="1"/>
  <c r="F74" i="1" s="1"/>
  <c r="E74" i="1" s="1"/>
  <c r="D75" i="1" s="1"/>
  <c r="K74" i="1" l="1"/>
  <c r="M74" i="1" s="1"/>
  <c r="T74" i="1"/>
  <c r="S75" i="1" s="1"/>
  <c r="W75" i="1"/>
  <c r="H75" i="1" s="1"/>
  <c r="G75" i="1" l="1"/>
  <c r="F75" i="1" s="1"/>
  <c r="E75" i="1" s="1"/>
  <c r="D76" i="1" s="1"/>
  <c r="T75" i="1" l="1"/>
  <c r="S76" i="1" s="1"/>
  <c r="K75" i="1"/>
  <c r="M75" i="1" s="1"/>
  <c r="W76" i="1"/>
  <c r="H76" i="1" s="1"/>
  <c r="G76" i="1" l="1"/>
  <c r="T76" i="1" s="1"/>
  <c r="F76" i="1" l="1"/>
  <c r="E76" i="1" s="1"/>
  <c r="D77" i="1" s="1"/>
  <c r="W77" i="1" l="1"/>
  <c r="H77" i="1" s="1"/>
  <c r="S77" i="1"/>
  <c r="K76" i="1"/>
  <c r="M76" i="1" s="1"/>
  <c r="G77" i="1" l="1"/>
  <c r="T77" i="1" s="1"/>
  <c r="F77" i="1" l="1"/>
  <c r="E77" i="1" s="1"/>
  <c r="D78" i="1" s="1"/>
  <c r="W78" i="1" s="1"/>
  <c r="H78" i="1" s="1"/>
  <c r="K77" i="1" l="1"/>
  <c r="M77" i="1" s="1"/>
  <c r="S78" i="1"/>
  <c r="G78" i="1" s="1"/>
  <c r="F78" i="1" l="1"/>
  <c r="E78" i="1" s="1"/>
  <c r="D79" i="1" s="1"/>
  <c r="T78" i="1"/>
  <c r="W79" i="1" l="1"/>
  <c r="H79" i="1" s="1"/>
  <c r="S79" i="1"/>
  <c r="K78" i="1"/>
  <c r="M78" i="1" s="1"/>
  <c r="G79" i="1" l="1"/>
  <c r="F79" i="1" s="1"/>
  <c r="E79" i="1" s="1"/>
  <c r="D80" i="1" s="1"/>
  <c r="T79" i="1" l="1"/>
  <c r="S80" i="1" s="1"/>
  <c r="K79" i="1"/>
  <c r="M79" i="1" s="1"/>
  <c r="W80" i="1"/>
  <c r="H80" i="1" s="1"/>
  <c r="G80" i="1" l="1"/>
  <c r="F80" i="1" s="1"/>
  <c r="E80" i="1" s="1"/>
  <c r="D81" i="1" s="1"/>
  <c r="W81" i="1" l="1"/>
  <c r="H81" i="1" s="1"/>
  <c r="K80" i="1"/>
  <c r="M80" i="1" s="1"/>
  <c r="T80" i="1"/>
  <c r="S81" i="1" s="1"/>
  <c r="G81" i="1" l="1"/>
  <c r="F81" i="1" s="1"/>
  <c r="E81" i="1" s="1"/>
  <c r="D82" i="1" s="1"/>
  <c r="T81" i="1" l="1"/>
  <c r="S82" i="1" s="1"/>
  <c r="K81" i="1"/>
  <c r="M81" i="1" s="1"/>
  <c r="W82" i="1"/>
  <c r="H82" i="1" s="1"/>
  <c r="G82" i="1" l="1"/>
  <c r="T82" i="1" s="1"/>
  <c r="F82" i="1" l="1"/>
  <c r="E82" i="1" s="1"/>
  <c r="D83" i="1" s="1"/>
  <c r="S83" i="1" s="1"/>
  <c r="W83" i="1" l="1"/>
  <c r="H83" i="1" s="1"/>
  <c r="K82" i="1"/>
  <c r="M82" i="1" s="1"/>
  <c r="G83" i="1" l="1"/>
  <c r="T83" i="1" s="1"/>
  <c r="F83" i="1" l="1"/>
  <c r="E83" i="1" s="1"/>
  <c r="D84" i="1" s="1"/>
  <c r="S84" i="1" s="1"/>
  <c r="K83" i="1" l="1"/>
  <c r="M83" i="1" s="1"/>
  <c r="W84" i="1"/>
  <c r="H84" i="1" s="1"/>
  <c r="G84" i="1" s="1"/>
  <c r="T84" i="1" s="1"/>
  <c r="F84" i="1" l="1"/>
  <c r="E84" i="1" s="1"/>
  <c r="D85" i="1" s="1"/>
  <c r="S85" i="1" s="1"/>
  <c r="W85" i="1" l="1"/>
  <c r="H85" i="1" s="1"/>
  <c r="G85" i="1" s="1"/>
  <c r="F85" i="1" s="1"/>
  <c r="E85" i="1" s="1"/>
  <c r="D86" i="1" s="1"/>
  <c r="K84" i="1"/>
  <c r="M84" i="1" s="1"/>
  <c r="T85" i="1" l="1"/>
  <c r="S86" i="1" s="1"/>
  <c r="K85" i="1"/>
  <c r="M85" i="1" s="1"/>
  <c r="W86" i="1"/>
  <c r="H86" i="1" s="1"/>
  <c r="G86" i="1" l="1"/>
  <c r="F86" i="1" s="1"/>
  <c r="E86" i="1" s="1"/>
  <c r="D87" i="1" s="1"/>
  <c r="T86" i="1" l="1"/>
  <c r="S87" i="1" s="1"/>
  <c r="K86" i="1"/>
  <c r="M86" i="1" s="1"/>
  <c r="W87" i="1"/>
  <c r="H87" i="1" s="1"/>
  <c r="G87" i="1" l="1"/>
  <c r="T87" i="1" s="1"/>
  <c r="F87" i="1" l="1"/>
  <c r="E87" i="1" s="1"/>
  <c r="D88" i="1" s="1"/>
  <c r="W88" i="1" s="1"/>
  <c r="H88" i="1" s="1"/>
  <c r="K87" i="1" l="1"/>
  <c r="M87" i="1" s="1"/>
  <c r="S88" i="1"/>
  <c r="G88" i="1" s="1"/>
  <c r="F88" i="1" s="1"/>
  <c r="E88" i="1" s="1"/>
  <c r="D89" i="1" s="1"/>
  <c r="T88" i="1" l="1"/>
  <c r="S89" i="1" s="1"/>
  <c r="K88" i="1"/>
  <c r="M88" i="1" s="1"/>
  <c r="W89" i="1"/>
  <c r="H89" i="1" s="1"/>
  <c r="G89" i="1" l="1"/>
  <c r="T89" i="1" s="1"/>
  <c r="F89" i="1" l="1"/>
  <c r="E89" i="1" s="1"/>
  <c r="D90" i="1" s="1"/>
  <c r="W90" i="1" s="1"/>
  <c r="H90" i="1" s="1"/>
  <c r="K89" i="1" l="1"/>
  <c r="M89" i="1" s="1"/>
  <c r="S90" i="1"/>
  <c r="G90" i="1" l="1"/>
  <c r="T90" i="1" s="1"/>
  <c r="F90" i="1" l="1"/>
  <c r="E90" i="1" s="1"/>
  <c r="D91" i="1" s="1"/>
  <c r="W91" i="1" s="1"/>
  <c r="H91" i="1" s="1"/>
  <c r="K90" i="1" l="1"/>
  <c r="M90" i="1" s="1"/>
  <c r="S91" i="1"/>
  <c r="G91" i="1" s="1"/>
  <c r="T91" i="1" s="1"/>
  <c r="F91" i="1" l="1"/>
  <c r="E91" i="1" s="1"/>
  <c r="D92" i="1" s="1"/>
  <c r="W92" i="1" s="1"/>
  <c r="H92" i="1" s="1"/>
  <c r="K91" i="1" l="1"/>
  <c r="M91" i="1" s="1"/>
  <c r="S92" i="1"/>
  <c r="G92" i="1" l="1"/>
  <c r="T92" i="1" s="1"/>
  <c r="F92" i="1" l="1"/>
  <c r="E92" i="1" s="1"/>
  <c r="D93" i="1" s="1"/>
  <c r="W93" i="1" s="1"/>
  <c r="H93" i="1" s="1"/>
  <c r="S93" i="1" l="1"/>
  <c r="G93" i="1" s="1"/>
  <c r="K92" i="1"/>
  <c r="M92" i="1" s="1"/>
  <c r="F93" i="1" l="1"/>
  <c r="E93" i="1" s="1"/>
  <c r="D94" i="1" s="1"/>
  <c r="W94" i="1" s="1"/>
  <c r="H94" i="1" s="1"/>
  <c r="T93" i="1"/>
  <c r="K93" i="1" l="1"/>
  <c r="M93" i="1" s="1"/>
  <c r="S94" i="1"/>
  <c r="G94" i="1" s="1"/>
  <c r="F94" i="1" s="1"/>
  <c r="E94" i="1" s="1"/>
  <c r="D95" i="1" s="1"/>
  <c r="T94" i="1" l="1"/>
  <c r="S95" i="1" s="1"/>
  <c r="K94" i="1"/>
  <c r="M94" i="1" s="1"/>
  <c r="W95" i="1"/>
  <c r="H95" i="1" s="1"/>
  <c r="G95" i="1" l="1"/>
  <c r="T95" i="1" s="1"/>
  <c r="F95" i="1" l="1"/>
  <c r="E95" i="1" s="1"/>
  <c r="D96" i="1" s="1"/>
  <c r="W96" i="1" l="1"/>
  <c r="H96" i="1" s="1"/>
  <c r="S96" i="1"/>
  <c r="K95" i="1"/>
  <c r="M95" i="1" s="1"/>
  <c r="G96" i="1" l="1"/>
  <c r="T96" i="1" s="1"/>
  <c r="F96" i="1" l="1"/>
  <c r="E96" i="1" s="1"/>
  <c r="D97" i="1" s="1"/>
  <c r="W97" i="1" s="1"/>
  <c r="H97" i="1" s="1"/>
  <c r="K96" i="1" l="1"/>
  <c r="M96" i="1" s="1"/>
  <c r="S97" i="1"/>
  <c r="G97" i="1" s="1"/>
  <c r="F97" i="1" l="1"/>
  <c r="E97" i="1" s="1"/>
  <c r="D98" i="1" s="1"/>
  <c r="T97" i="1"/>
  <c r="S98" i="1" l="1"/>
  <c r="W98" i="1"/>
  <c r="H98" i="1" s="1"/>
  <c r="K97" i="1"/>
  <c r="M97" i="1" s="1"/>
  <c r="G98" i="1" l="1"/>
  <c r="T98" i="1" s="1"/>
  <c r="F98" i="1" l="1"/>
  <c r="E98" i="1" s="1"/>
  <c r="D99" i="1" s="1"/>
  <c r="S99" i="1" l="1"/>
  <c r="W99" i="1"/>
  <c r="H99" i="1" s="1"/>
  <c r="K98" i="1"/>
  <c r="M98" i="1" s="1"/>
  <c r="G99" i="1" l="1"/>
  <c r="T99" i="1" s="1"/>
  <c r="F99" i="1" l="1"/>
  <c r="E99" i="1" s="1"/>
  <c r="D100" i="1" s="1"/>
  <c r="S100" i="1" l="1"/>
  <c r="W100" i="1"/>
  <c r="H100" i="1" s="1"/>
  <c r="K99" i="1"/>
  <c r="M99" i="1" s="1"/>
  <c r="G100" i="1" l="1"/>
  <c r="T100" i="1" s="1"/>
  <c r="F100" i="1"/>
  <c r="E100" i="1" s="1"/>
  <c r="D101" i="1" s="1"/>
  <c r="K100" i="1" l="1"/>
  <c r="M100" i="1" s="1"/>
  <c r="W101" i="1"/>
  <c r="H101" i="1" s="1"/>
  <c r="S101" i="1"/>
  <c r="G101" i="1" l="1"/>
  <c r="T101" i="1" s="1"/>
  <c r="F101" i="1" l="1"/>
  <c r="K101" i="1" s="1"/>
  <c r="M101" i="1" s="1"/>
  <c r="E101" i="1" l="1"/>
  <c r="D102" i="1" s="1"/>
  <c r="W102" i="1"/>
  <c r="H102" i="1" s="1"/>
  <c r="S102" i="1"/>
  <c r="G102" i="1" l="1"/>
  <c r="T102" i="1" s="1"/>
  <c r="F102" i="1" l="1"/>
  <c r="K102" i="1" l="1"/>
  <c r="M102" i="1" s="1"/>
  <c r="E102" i="1"/>
  <c r="D103" i="1" s="1"/>
  <c r="W103" i="1" l="1"/>
  <c r="H103" i="1" s="1"/>
  <c r="S103" i="1"/>
  <c r="G103" i="1" l="1"/>
  <c r="T103" i="1" s="1"/>
  <c r="F103" i="1"/>
  <c r="K103" i="1" l="1"/>
  <c r="M103" i="1" s="1"/>
  <c r="E103" i="1"/>
  <c r="D104" i="1" s="1"/>
  <c r="W104" i="1" l="1"/>
  <c r="H104" i="1" s="1"/>
  <c r="S104" i="1"/>
  <c r="G104" i="1" l="1"/>
  <c r="T104" i="1" s="1"/>
  <c r="F104" i="1"/>
  <c r="E104" i="1" l="1"/>
  <c r="D105" i="1" s="1"/>
  <c r="K104" i="1"/>
  <c r="M104" i="1" l="1"/>
  <c r="W105" i="1"/>
  <c r="H105" i="1" s="1"/>
  <c r="G105" i="1" s="1"/>
  <c r="S105" i="1"/>
  <c r="F105" i="1" l="1"/>
  <c r="K105" i="1" s="1"/>
  <c r="T105" i="1"/>
  <c r="M105" i="1" l="1"/>
  <c r="E105" i="1"/>
  <c r="D106" i="1" s="1"/>
  <c r="W106" i="1" l="1"/>
  <c r="H106" i="1" s="1"/>
  <c r="S106" i="1"/>
  <c r="G106" i="1" l="1"/>
  <c r="T106" i="1" s="1"/>
  <c r="F106" i="1"/>
  <c r="K106" i="1" l="1"/>
  <c r="M106" i="1" s="1"/>
  <c r="E106" i="1"/>
  <c r="D107" i="1" s="1"/>
  <c r="W107" i="1" l="1"/>
  <c r="H107" i="1" s="1"/>
  <c r="S107" i="1"/>
  <c r="G107" i="1" l="1"/>
  <c r="F107" i="1"/>
  <c r="E107" i="1" s="1"/>
  <c r="D108" i="1" s="1"/>
  <c r="W108" i="1" s="1"/>
  <c r="H108" i="1" s="1"/>
  <c r="T107" i="1" l="1"/>
  <c r="S108" i="1" s="1"/>
  <c r="G108" i="1" s="1"/>
  <c r="K107" i="1"/>
  <c r="M107" i="1" s="1"/>
  <c r="F108" i="1" l="1"/>
  <c r="T108" i="1"/>
  <c r="E108" i="1" l="1"/>
  <c r="D109" i="1" s="1"/>
  <c r="K108" i="1"/>
  <c r="M108" i="1" l="1"/>
  <c r="W109" i="1"/>
  <c r="H109" i="1" s="1"/>
  <c r="S109" i="1"/>
  <c r="G109" i="1" l="1"/>
  <c r="F109" i="1" s="1"/>
  <c r="T109" i="1" l="1"/>
  <c r="K109" i="1"/>
  <c r="M109" i="1" s="1"/>
  <c r="E109" i="1"/>
  <c r="D110" i="1" s="1"/>
  <c r="W110" i="1" l="1"/>
  <c r="H110" i="1" s="1"/>
  <c r="S110" i="1"/>
  <c r="G110" i="1" l="1"/>
  <c r="T110" i="1" s="1"/>
  <c r="F110" i="1" l="1"/>
  <c r="E110" i="1" s="1"/>
  <c r="D111" i="1" s="1"/>
  <c r="W111" i="1" s="1"/>
  <c r="H111" i="1" s="1"/>
  <c r="K110" i="1" l="1"/>
  <c r="M110" i="1" s="1"/>
  <c r="S111" i="1"/>
  <c r="G111" i="1" l="1"/>
  <c r="F111" i="1" l="1"/>
  <c r="E111" i="1" s="1"/>
  <c r="D112" i="1" s="1"/>
  <c r="T111" i="1"/>
  <c r="D113" i="1" l="1"/>
  <c r="W112" i="1"/>
  <c r="H112" i="1" s="1"/>
  <c r="S112" i="1"/>
  <c r="K111" i="1"/>
  <c r="M111" i="1" s="1"/>
  <c r="G112" i="1" l="1"/>
  <c r="F112" i="1" s="1"/>
  <c r="E112" i="1" s="1"/>
  <c r="E113" i="1" s="1"/>
  <c r="H113" i="1"/>
  <c r="H39" i="1"/>
  <c r="F39" i="1" l="1"/>
  <c r="F113" i="1"/>
  <c r="G113" i="1"/>
  <c r="K35" i="1"/>
  <c r="G39" i="1"/>
  <c r="K112" i="1"/>
  <c r="T112" i="1"/>
  <c r="O40" i="1"/>
  <c r="K113" i="1" l="1"/>
  <c r="K39" i="1"/>
  <c r="M112" i="1"/>
  <c r="F35" i="1" l="1"/>
  <c r="E35" i="1" s="1"/>
  <c r="M39" i="1"/>
  <c r="M113" i="1"/>
</calcChain>
</file>

<file path=xl/sharedStrings.xml><?xml version="1.0" encoding="utf-8"?>
<sst xmlns="http://schemas.openxmlformats.org/spreadsheetml/2006/main" count="97" uniqueCount="89">
  <si>
    <t>Moneda</t>
  </si>
  <si>
    <t>Fecha</t>
  </si>
  <si>
    <t>Fecha de desembolso</t>
  </si>
  <si>
    <r>
      <t xml:space="preserve">Cuota Mensual (C) del mes </t>
    </r>
    <r>
      <rPr>
        <i/>
        <sz val="10"/>
        <rFont val="Arial"/>
        <family val="2"/>
      </rPr>
      <t>i</t>
    </r>
    <r>
      <rPr>
        <sz val="10"/>
        <rFont val="Arial"/>
        <family val="2"/>
      </rPr>
      <t>:</t>
    </r>
  </si>
  <si>
    <r>
      <t xml:space="preserve">Interés (I) del mes </t>
    </r>
    <r>
      <rPr>
        <i/>
        <sz val="10"/>
        <rFont val="Arial"/>
        <family val="2"/>
      </rPr>
      <t>i</t>
    </r>
    <r>
      <rPr>
        <sz val="10"/>
        <rFont val="Arial"/>
        <family val="2"/>
      </rPr>
      <t>:</t>
    </r>
  </si>
  <si>
    <r>
      <t>Saldo Inicial (SI) y Saldo Final (SF) del mes</t>
    </r>
    <r>
      <rPr>
        <i/>
        <sz val="10"/>
        <rFont val="Arial"/>
        <family val="2"/>
      </rPr>
      <t xml:space="preserve"> i:</t>
    </r>
  </si>
  <si>
    <r>
      <t xml:space="preserve">Amortización (A) del mes </t>
    </r>
    <r>
      <rPr>
        <i/>
        <sz val="10"/>
        <rFont val="Arial"/>
        <family val="2"/>
      </rPr>
      <t>i:</t>
    </r>
  </si>
  <si>
    <t>A partir del mes 1:</t>
  </si>
  <si>
    <t>dp = Tasa de derecho de emisión de póliza</t>
  </si>
  <si>
    <t>Total a Pagar Mensual (T):</t>
  </si>
  <si>
    <t>tsd = Tasa de seguro de desgravamen</t>
  </si>
  <si>
    <t>Seguro de Desgravamen Mensual Constante (SD):</t>
  </si>
  <si>
    <t>i = Mes correspondiente</t>
  </si>
  <si>
    <t>Saldo Final (SF)</t>
  </si>
  <si>
    <t>Tasa de Seguro de Desgravamen (tsd)</t>
  </si>
  <si>
    <t>Tasa de Derecho de emisión de póliza (tp)</t>
  </si>
  <si>
    <t>C = Cuota Mensual</t>
  </si>
  <si>
    <t>P = Monto a desembolsar</t>
  </si>
  <si>
    <t>A = Amortización mensual</t>
  </si>
  <si>
    <t>SI = Saldo Inicial del mes</t>
  </si>
  <si>
    <t>SF = Saldo Final del mes</t>
  </si>
  <si>
    <t>I = Intereses del mes</t>
  </si>
  <si>
    <t>SD = Seguro de Desgravamen del mes</t>
  </si>
  <si>
    <t>T = Total a pagar mensual</t>
  </si>
  <si>
    <t>Leyenda:</t>
  </si>
  <si>
    <t>n = Plazo del Préstamo (meses)</t>
  </si>
  <si>
    <t>Cuota Total a Pagar Mensual (T)</t>
  </si>
  <si>
    <t>Seguro de desgravamen (SD)
Poliza         IGV</t>
  </si>
  <si>
    <t>Tasa de interés efectiva anual equivalente (TIEAEq)</t>
  </si>
  <si>
    <t>Tasa de Interés Efectiva Mensual:</t>
  </si>
  <si>
    <t>PT = Comisión y Gastos por Portes</t>
  </si>
  <si>
    <t>Fórmulas MaxiPréstamo</t>
  </si>
  <si>
    <t>TIEA = Tasa de interés efectiva Anual</t>
  </si>
  <si>
    <r>
      <t>t</t>
    </r>
    <r>
      <rPr>
        <sz val="8"/>
        <rFont val="Arial"/>
        <family val="2"/>
      </rPr>
      <t>m</t>
    </r>
    <r>
      <rPr>
        <sz val="10"/>
        <rFont val="Arial"/>
        <family val="2"/>
      </rPr>
      <t xml:space="preserve"> = Tasa de interés efectiva Mensual</t>
    </r>
  </si>
  <si>
    <t>Periodo de gracia (meses)</t>
  </si>
  <si>
    <t>No</t>
  </si>
  <si>
    <t>Día</t>
  </si>
  <si>
    <t>Ocultar fila</t>
  </si>
  <si>
    <t>configurar</t>
  </si>
  <si>
    <t>Cuota Mensual (C)</t>
  </si>
  <si>
    <t>TOTALES --&gt;</t>
  </si>
  <si>
    <t>Dias Calendario</t>
  </si>
  <si>
    <t>Año Base 360 días</t>
  </si>
  <si>
    <t>Dólares</t>
  </si>
  <si>
    <t>Soles</t>
  </si>
  <si>
    <t>Endosado</t>
  </si>
  <si>
    <t>Tipo de Seguro de Desgravamen</t>
  </si>
  <si>
    <t>Titular</t>
  </si>
  <si>
    <t>Días Calendario</t>
  </si>
  <si>
    <t>Día de Pago</t>
  </si>
  <si>
    <t>Portes</t>
  </si>
  <si>
    <t>Totales</t>
  </si>
  <si>
    <t>Cuota Doble</t>
  </si>
  <si>
    <t>Físico</t>
  </si>
  <si>
    <t>Virtual</t>
  </si>
  <si>
    <t>Fecha Primera Cuota</t>
  </si>
  <si>
    <t>Seguro de desgravamen</t>
  </si>
  <si>
    <t>Interés</t>
  </si>
  <si>
    <t>Amortización</t>
  </si>
  <si>
    <t>Nro Cuota</t>
  </si>
  <si>
    <t>Saldo Capital</t>
  </si>
  <si>
    <t>Cuota Total</t>
  </si>
  <si>
    <t>Número de Cuotas</t>
  </si>
  <si>
    <t>Notas:</t>
  </si>
  <si>
    <t>1) El año base para el cálculo de las tasas de interés es de 360 días.</t>
  </si>
  <si>
    <t>2) Los datos que se muestran en este simulador son referenciales y están sujetos a evaluación, podría no coincidir con la información del cronograma definitivo. Los datos podrán variar dependiendo de la fecha real de desembolso y la fecha del primer vencimiento. Este documento no constituye aprobación del préstamo.</t>
  </si>
  <si>
    <t>(**) Usted tiene derecho a contratar el seguro de desgravamen y endosarlo a favor de Santander Consumer hasta el monto del saldo adeudado. Las condiciones del endoso se encuentra en www.santanderconsumer.com.pe / transparencia.</t>
  </si>
  <si>
    <t>Editar, se debe mostrar unicamente las opciones de dia de pago (2,7,14).</t>
  </si>
  <si>
    <t xml:space="preserve">La opción de macros en MS-Excel debe estar habilitada para el completo funcionamiento de los simuladores.
</t>
  </si>
  <si>
    <t>Tasa de Costo Efectivo Anual (TCEA)</t>
  </si>
  <si>
    <t>Tasa de Interés Compensatorio Efectiva Anual (TEA Fija)</t>
  </si>
  <si>
    <t>Envio Estado de Cuenta*</t>
  </si>
  <si>
    <t>Seguro de Desgravamen Mensual**</t>
  </si>
  <si>
    <t>Precio del vehículo</t>
  </si>
  <si>
    <t>Cuota inicial</t>
  </si>
  <si>
    <t>Seguro vehicular</t>
  </si>
  <si>
    <t>SEGURO VEHICULAR</t>
  </si>
  <si>
    <t>GPS</t>
  </si>
  <si>
    <t>Monto del préstamo</t>
  </si>
  <si>
    <t>Seguro vehicular anual %</t>
  </si>
  <si>
    <t>Seguro vehicular mensual</t>
  </si>
  <si>
    <t>Cuota financiera</t>
  </si>
  <si>
    <t>SIMULADOR - CRÉDITO DE CRÉDITO VEHICULAR TRADICIONAL</t>
  </si>
  <si>
    <t>Titular + Conyuge</t>
  </si>
  <si>
    <t>(*) El cálculo del porte se realiza en base a un tipo de cambio referencial de S/ 4.00.</t>
  </si>
  <si>
    <t>Plazo</t>
  </si>
  <si>
    <t>Precio</t>
  </si>
  <si>
    <t>Servicio de toma de firmas y delivery</t>
  </si>
  <si>
    <t>Gastos notariales y registrales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</si>
</sst>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0.000%"/>
    <numFmt numFmtId="166" formatCode="0.0000000%"/>
    <numFmt numFmtId="167" formatCode="0.0000000000"/>
    <numFmt numFmtId="168" formatCode="0.0000%"/>
    <numFmt numFmtId="169" formatCode="0.00000%"/>
    <numFmt numFmtId="170" formatCode="#,##0.00000"/>
    <numFmt numFmtId="171" formatCode="0.0%"/>
  </numFmts>
  <fonts count="22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color indexed="9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indexed="9"/>
      <name val="Calibri"/>
      <family val="2"/>
      <scheme val="minor"/>
    </font>
    <font>
      <sz val="18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0"/>
      <color rgb="FFFFFF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/>
      <right/>
      <top style="medium">
        <color indexed="9"/>
      </top>
      <bottom style="thin">
        <color theme="0"/>
      </bottom>
      <diagonal/>
    </border>
    <border>
      <left style="thin">
        <color theme="0"/>
      </left>
      <right/>
      <top style="medium">
        <color indexed="9"/>
      </top>
      <bottom style="thin">
        <color theme="0"/>
      </bottom>
      <diagonal/>
    </border>
    <border>
      <left/>
      <right style="thin">
        <color theme="0"/>
      </right>
      <top style="medium">
        <color indexed="9"/>
      </top>
      <bottom style="thin">
        <color theme="0"/>
      </bottom>
      <diagonal/>
    </border>
    <border>
      <left/>
      <right style="thin">
        <color indexed="9"/>
      </right>
      <top style="medium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medium">
        <color indexed="9"/>
      </top>
      <bottom style="thin">
        <color theme="0"/>
      </bottom>
      <diagonal/>
    </border>
    <border>
      <left style="thin">
        <color indexed="9"/>
      </left>
      <right/>
      <top style="medium">
        <color indexed="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9"/>
      </top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9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/>
      <top style="medium">
        <color indexed="9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/>
    <xf numFmtId="0" fontId="5" fillId="3" borderId="8" xfId="0" applyFont="1" applyFill="1" applyBorder="1" applyAlignment="1">
      <alignment horizontal="centerContinuous" vertical="center"/>
    </xf>
    <xf numFmtId="0" fontId="5" fillId="3" borderId="9" xfId="0" applyFont="1" applyFill="1" applyBorder="1" applyAlignment="1">
      <alignment horizontal="centerContinuous" vertical="center"/>
    </xf>
    <xf numFmtId="0" fontId="5" fillId="3" borderId="10" xfId="0" applyFont="1" applyFill="1" applyBorder="1" applyAlignment="1">
      <alignment horizontal="centerContinuous" vertical="center"/>
    </xf>
    <xf numFmtId="0" fontId="6" fillId="0" borderId="0" xfId="0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19" xfId="0" applyFont="1" applyBorder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7" fontId="8" fillId="0" borderId="0" xfId="0" applyNumberFormat="1" applyFont="1"/>
    <xf numFmtId="2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/>
    <xf numFmtId="1" fontId="8" fillId="0" borderId="0" xfId="0" applyNumberFormat="1" applyFont="1"/>
    <xf numFmtId="4" fontId="8" fillId="0" borderId="0" xfId="0" applyNumberFormat="1" applyFont="1"/>
    <xf numFmtId="170" fontId="8" fillId="0" borderId="0" xfId="0" applyNumberFormat="1" applyFont="1"/>
    <xf numFmtId="2" fontId="8" fillId="0" borderId="0" xfId="0" applyNumberFormat="1" applyFont="1" applyAlignment="1">
      <alignment horizontal="center"/>
    </xf>
    <xf numFmtId="0" fontId="14" fillId="6" borderId="22" xfId="0" applyFont="1" applyFill="1" applyBorder="1" applyAlignment="1" applyProtection="1">
      <alignment horizontal="center" vertical="center" wrapText="1"/>
      <protection hidden="1"/>
    </xf>
    <xf numFmtId="0" fontId="14" fillId="6" borderId="23" xfId="0" applyFont="1" applyFill="1" applyBorder="1" applyAlignment="1" applyProtection="1">
      <alignment horizontal="center" vertical="center" wrapText="1"/>
      <protection hidden="1"/>
    </xf>
    <xf numFmtId="0" fontId="14" fillId="6" borderId="24" xfId="0" applyFont="1" applyFill="1" applyBorder="1" applyAlignment="1" applyProtection="1">
      <alignment horizontal="center" vertical="center" wrapText="1"/>
      <protection hidden="1"/>
    </xf>
    <xf numFmtId="0" fontId="14" fillId="6" borderId="25" xfId="0" applyFont="1" applyFill="1" applyBorder="1" applyAlignment="1" applyProtection="1">
      <alignment horizontal="center" vertical="center" wrapText="1"/>
      <protection hidden="1"/>
    </xf>
    <xf numFmtId="0" fontId="14" fillId="6" borderId="19" xfId="0" applyFont="1" applyFill="1" applyBorder="1" applyAlignment="1" applyProtection="1">
      <alignment horizontal="center" vertical="center" wrapText="1"/>
      <protection hidden="1"/>
    </xf>
    <xf numFmtId="0" fontId="14" fillId="6" borderId="37" xfId="0" applyFont="1" applyFill="1" applyBorder="1" applyAlignment="1" applyProtection="1">
      <alignment horizontal="center" vertical="center" wrapText="1"/>
      <protection hidden="1"/>
    </xf>
    <xf numFmtId="0" fontId="14" fillId="6" borderId="35" xfId="0" applyFont="1" applyFill="1" applyBorder="1" applyAlignment="1" applyProtection="1">
      <alignment horizontal="center" vertical="center" wrapText="1"/>
      <protection hidden="1"/>
    </xf>
    <xf numFmtId="0" fontId="14" fillId="2" borderId="33" xfId="0" applyFont="1" applyFill="1" applyBorder="1" applyAlignment="1" applyProtection="1">
      <alignment horizontal="right" vertical="center" wrapText="1"/>
      <protection hidden="1"/>
    </xf>
    <xf numFmtId="0" fontId="14" fillId="2" borderId="34" xfId="0" applyFont="1" applyFill="1" applyBorder="1" applyAlignment="1" applyProtection="1">
      <alignment horizontal="right" vertical="center" wrapText="1"/>
      <protection hidden="1"/>
    </xf>
    <xf numFmtId="4" fontId="14" fillId="2" borderId="29" xfId="0" applyNumberFormat="1" applyFont="1" applyFill="1" applyBorder="1" applyAlignment="1" applyProtection="1">
      <alignment horizontal="center" vertical="center" wrapText="1"/>
      <protection hidden="1"/>
    </xf>
    <xf numFmtId="4" fontId="14" fillId="2" borderId="30" xfId="0" applyNumberFormat="1" applyFont="1" applyFill="1" applyBorder="1" applyAlignment="1" applyProtection="1">
      <alignment horizontal="center" vertical="center" wrapText="1"/>
      <protection hidden="1"/>
    </xf>
    <xf numFmtId="4" fontId="14" fillId="2" borderId="31" xfId="0" applyNumberFormat="1" applyFont="1" applyFill="1" applyBorder="1" applyAlignment="1" applyProtection="1">
      <alignment horizontal="center" vertical="center" wrapText="1"/>
      <protection hidden="1"/>
    </xf>
    <xf numFmtId="4" fontId="14" fillId="2" borderId="32" xfId="0" applyNumberFormat="1" applyFont="1" applyFill="1" applyBorder="1" applyAlignment="1" applyProtection="1">
      <alignment horizontal="center" vertical="center" wrapText="1"/>
      <protection hidden="1"/>
    </xf>
    <xf numFmtId="4" fontId="14" fillId="2" borderId="26" xfId="0" applyNumberFormat="1" applyFont="1" applyFill="1" applyBorder="1" applyAlignment="1" applyProtection="1">
      <alignment horizontal="center" vertical="center" wrapText="1"/>
      <protection hidden="1"/>
    </xf>
    <xf numFmtId="4" fontId="14" fillId="2" borderId="36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/>
      <protection hidden="1"/>
    </xf>
    <xf numFmtId="14" fontId="8" fillId="0" borderId="1" xfId="0" applyNumberFormat="1" applyFont="1" applyBorder="1" applyAlignment="1" applyProtection="1">
      <alignment horizontal="center"/>
      <protection hidden="1"/>
    </xf>
    <xf numFmtId="4" fontId="8" fillId="0" borderId="14" xfId="0" applyNumberFormat="1" applyFont="1" applyBorder="1" applyProtection="1">
      <protection hidden="1"/>
    </xf>
    <xf numFmtId="4" fontId="8" fillId="0" borderId="15" xfId="0" applyNumberFormat="1" applyFont="1" applyBorder="1" applyProtection="1">
      <protection hidden="1"/>
    </xf>
    <xf numFmtId="4" fontId="8" fillId="0" borderId="0" xfId="0" applyNumberFormat="1" applyFont="1" applyProtection="1">
      <protection hidden="1"/>
    </xf>
    <xf numFmtId="4" fontId="9" fillId="0" borderId="2" xfId="0" applyNumberFormat="1" applyFont="1" applyBorder="1" applyProtection="1">
      <protection hidden="1"/>
    </xf>
    <xf numFmtId="0" fontId="8" fillId="0" borderId="7" xfId="0" applyFont="1" applyBorder="1" applyAlignment="1" applyProtection="1">
      <alignment horizontal="center"/>
      <protection hidden="1"/>
    </xf>
    <xf numFmtId="0" fontId="19" fillId="6" borderId="19" xfId="0" applyFont="1" applyFill="1" applyBorder="1" applyProtection="1">
      <protection hidden="1"/>
    </xf>
    <xf numFmtId="4" fontId="19" fillId="6" borderId="19" xfId="0" applyNumberFormat="1" applyFont="1" applyFill="1" applyBorder="1" applyProtection="1">
      <protection hidden="1"/>
    </xf>
    <xf numFmtId="10" fontId="8" fillId="7" borderId="10" xfId="0" applyNumberFormat="1" applyFont="1" applyFill="1" applyBorder="1" applyAlignment="1" applyProtection="1">
      <alignment horizontal="center"/>
      <protection hidden="1"/>
    </xf>
    <xf numFmtId="165" fontId="8" fillId="7" borderId="7" xfId="2" applyNumberFormat="1" applyFont="1" applyFill="1" applyBorder="1" applyAlignment="1" applyProtection="1">
      <alignment horizontal="center"/>
      <protection hidden="1"/>
    </xf>
    <xf numFmtId="0" fontId="8" fillId="0" borderId="19" xfId="0" applyFont="1" applyBorder="1" applyProtection="1">
      <protection hidden="1"/>
    </xf>
    <xf numFmtId="0" fontId="12" fillId="0" borderId="19" xfId="0" applyFont="1" applyBorder="1" applyProtection="1">
      <protection hidden="1"/>
    </xf>
    <xf numFmtId="0" fontId="13" fillId="0" borderId="19" xfId="0" applyFont="1" applyBorder="1" applyProtection="1">
      <protection hidden="1"/>
    </xf>
    <xf numFmtId="0" fontId="12" fillId="0" borderId="20" xfId="0" applyFont="1" applyBorder="1" applyProtection="1">
      <protection hidden="1"/>
    </xf>
    <xf numFmtId="0" fontId="8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2" fillId="0" borderId="2" xfId="0" applyFont="1" applyBorder="1" applyProtection="1">
      <protection hidden="1"/>
    </xf>
    <xf numFmtId="0" fontId="12" fillId="5" borderId="0" xfId="0" applyFont="1" applyFill="1" applyProtection="1">
      <protection hidden="1"/>
    </xf>
    <xf numFmtId="0" fontId="13" fillId="5" borderId="0" xfId="0" applyFont="1" applyFill="1" applyProtection="1">
      <protection hidden="1"/>
    </xf>
    <xf numFmtId="0" fontId="16" fillId="0" borderId="0" xfId="0" applyFont="1" applyProtection="1">
      <protection hidden="1"/>
    </xf>
    <xf numFmtId="0" fontId="9" fillId="5" borderId="0" xfId="0" applyFont="1" applyFill="1" applyProtection="1">
      <protection hidden="1"/>
    </xf>
    <xf numFmtId="2" fontId="16" fillId="0" borderId="0" xfId="0" applyNumberFormat="1" applyFont="1" applyProtection="1">
      <protection hidden="1"/>
    </xf>
    <xf numFmtId="0" fontId="9" fillId="0" borderId="0" xfId="0" applyFont="1" applyProtection="1">
      <protection hidden="1"/>
    </xf>
    <xf numFmtId="0" fontId="9" fillId="0" borderId="2" xfId="0" applyFont="1" applyBorder="1" applyProtection="1">
      <protection hidden="1"/>
    </xf>
    <xf numFmtId="0" fontId="15" fillId="0" borderId="0" xfId="0" applyFont="1" applyProtection="1">
      <protection hidden="1"/>
    </xf>
    <xf numFmtId="0" fontId="19" fillId="0" borderId="0" xfId="0" applyFont="1" applyProtection="1">
      <protection hidden="1"/>
    </xf>
    <xf numFmtId="4" fontId="15" fillId="0" borderId="0" xfId="0" applyNumberFormat="1" applyFont="1" applyAlignment="1" applyProtection="1">
      <alignment horizontal="center"/>
      <protection hidden="1"/>
    </xf>
    <xf numFmtId="0" fontId="18" fillId="6" borderId="19" xfId="0" applyFont="1" applyFill="1" applyBorder="1" applyAlignment="1" applyProtection="1">
      <alignment horizontal="center" vertical="center" wrapText="1"/>
      <protection hidden="1"/>
    </xf>
    <xf numFmtId="164" fontId="8" fillId="0" borderId="0" xfId="1" applyFont="1"/>
    <xf numFmtId="166" fontId="9" fillId="0" borderId="0" xfId="2" applyNumberFormat="1" applyFont="1" applyBorder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14" fontId="8" fillId="0" borderId="0" xfId="0" applyNumberFormat="1" applyFont="1" applyAlignment="1" applyProtection="1">
      <alignment horizontal="center"/>
      <protection hidden="1"/>
    </xf>
    <xf numFmtId="0" fontId="19" fillId="6" borderId="10" xfId="0" applyFont="1" applyFill="1" applyBorder="1" applyAlignment="1" applyProtection="1">
      <alignment horizontal="center"/>
      <protection hidden="1"/>
    </xf>
    <xf numFmtId="0" fontId="13" fillId="0" borderId="21" xfId="0" applyFont="1" applyBorder="1" applyAlignment="1" applyProtection="1">
      <alignment horizontal="center"/>
      <protection hidden="1"/>
    </xf>
    <xf numFmtId="168" fontId="8" fillId="0" borderId="0" xfId="0" applyNumberFormat="1" applyFont="1"/>
    <xf numFmtId="168" fontId="8" fillId="0" borderId="2" xfId="0" applyNumberFormat="1" applyFont="1" applyBorder="1" applyAlignment="1">
      <alignment horizontal="center"/>
    </xf>
    <xf numFmtId="0" fontId="15" fillId="6" borderId="0" xfId="0" applyFont="1" applyFill="1" applyAlignment="1">
      <alignment horizontal="center" vertical="center" wrapText="1"/>
    </xf>
    <xf numFmtId="165" fontId="13" fillId="0" borderId="0" xfId="0" applyNumberFormat="1" applyFont="1" applyProtection="1">
      <protection hidden="1"/>
    </xf>
    <xf numFmtId="171" fontId="13" fillId="0" borderId="0" xfId="2" applyNumberFormat="1" applyFont="1" applyBorder="1" applyProtection="1">
      <protection hidden="1"/>
    </xf>
    <xf numFmtId="4" fontId="9" fillId="0" borderId="14" xfId="0" applyNumberFormat="1" applyFont="1" applyBorder="1" applyProtection="1">
      <protection hidden="1"/>
    </xf>
    <xf numFmtId="4" fontId="9" fillId="0" borderId="38" xfId="0" applyNumberFormat="1" applyFont="1" applyBorder="1" applyProtection="1">
      <protection hidden="1"/>
    </xf>
    <xf numFmtId="4" fontId="14" fillId="2" borderId="39" xfId="0" applyNumberFormat="1" applyFont="1" applyFill="1" applyBorder="1" applyAlignment="1" applyProtection="1">
      <alignment horizontal="center" vertical="center" wrapText="1"/>
      <protection hidden="1"/>
    </xf>
    <xf numFmtId="169" fontId="15" fillId="0" borderId="0" xfId="0" applyNumberFormat="1" applyFont="1" applyProtection="1">
      <protection hidden="1"/>
    </xf>
    <xf numFmtId="168" fontId="15" fillId="0" borderId="0" xfId="2" applyNumberFormat="1" applyFont="1" applyBorder="1" applyProtection="1">
      <protection hidden="1"/>
    </xf>
    <xf numFmtId="171" fontId="15" fillId="0" borderId="0" xfId="0" applyNumberFormat="1" applyFont="1" applyProtection="1"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20" fillId="8" borderId="0" xfId="0" applyFont="1" applyFill="1" applyProtection="1">
      <protection hidden="1"/>
    </xf>
    <xf numFmtId="0" fontId="8" fillId="8" borderId="0" xfId="0" applyFont="1" applyFill="1" applyProtection="1">
      <protection hidden="1"/>
    </xf>
    <xf numFmtId="0" fontId="9" fillId="8" borderId="0" xfId="0" applyFont="1" applyFill="1" applyProtection="1">
      <protection hidden="1"/>
    </xf>
    <xf numFmtId="0" fontId="8" fillId="0" borderId="22" xfId="0" applyFont="1" applyBorder="1" applyProtection="1">
      <protection hidden="1"/>
    </xf>
    <xf numFmtId="0" fontId="14" fillId="6" borderId="1" xfId="0" applyFont="1" applyFill="1" applyBorder="1" applyProtection="1">
      <protection hidden="1"/>
    </xf>
    <xf numFmtId="0" fontId="14" fillId="6" borderId="0" xfId="0" applyFont="1" applyFill="1" applyProtection="1">
      <protection hidden="1"/>
    </xf>
    <xf numFmtId="0" fontId="14" fillId="6" borderId="3" xfId="0" applyFont="1" applyFill="1" applyBorder="1" applyProtection="1">
      <protection hidden="1"/>
    </xf>
    <xf numFmtId="0" fontId="14" fillId="6" borderId="4" xfId="0" applyFont="1" applyFill="1" applyBorder="1" applyProtection="1">
      <protection hidden="1"/>
    </xf>
    <xf numFmtId="0" fontId="17" fillId="2" borderId="1" xfId="0" applyFont="1" applyFill="1" applyBorder="1" applyProtection="1">
      <protection hidden="1"/>
    </xf>
    <xf numFmtId="0" fontId="17" fillId="2" borderId="0" xfId="0" applyFont="1" applyFill="1" applyProtection="1">
      <protection hidden="1"/>
    </xf>
    <xf numFmtId="0" fontId="17" fillId="2" borderId="2" xfId="0" applyFont="1" applyFill="1" applyBorder="1" applyProtection="1">
      <protection hidden="1"/>
    </xf>
    <xf numFmtId="165" fontId="8" fillId="0" borderId="2" xfId="0" applyNumberFormat="1" applyFont="1" applyBorder="1" applyAlignment="1" applyProtection="1">
      <alignment horizontal="center"/>
      <protection hidden="1"/>
    </xf>
    <xf numFmtId="0" fontId="17" fillId="2" borderId="3" xfId="0" applyFont="1" applyFill="1" applyBorder="1" applyProtection="1">
      <protection hidden="1"/>
    </xf>
    <xf numFmtId="0" fontId="17" fillId="2" borderId="4" xfId="0" applyFont="1" applyFill="1" applyBorder="1" applyProtection="1">
      <protection hidden="1"/>
    </xf>
    <xf numFmtId="0" fontId="17" fillId="2" borderId="5" xfId="0" applyFont="1" applyFill="1" applyBorder="1" applyProtection="1">
      <protection hidden="1"/>
    </xf>
    <xf numFmtId="10" fontId="8" fillId="0" borderId="5" xfId="0" applyNumberFormat="1" applyFont="1" applyBorder="1" applyAlignment="1" applyProtection="1">
      <alignment horizontal="center"/>
      <protection hidden="1"/>
    </xf>
    <xf numFmtId="0" fontId="8" fillId="0" borderId="1" xfId="0" applyFont="1" applyBorder="1" applyProtection="1">
      <protection hidden="1"/>
    </xf>
    <xf numFmtId="164" fontId="8" fillId="0" borderId="0" xfId="1" applyFont="1" applyFill="1" applyBorder="1" applyProtection="1">
      <protection hidden="1"/>
    </xf>
    <xf numFmtId="0" fontId="9" fillId="0" borderId="1" xfId="0" applyFont="1" applyBorder="1" applyProtection="1">
      <protection hidden="1"/>
    </xf>
    <xf numFmtId="0" fontId="9" fillId="0" borderId="3" xfId="0" applyFont="1" applyBorder="1" applyProtection="1">
      <protection hidden="1"/>
    </xf>
    <xf numFmtId="0" fontId="9" fillId="0" borderId="4" xfId="0" applyFont="1" applyBorder="1" applyProtection="1">
      <protection hidden="1"/>
    </xf>
    <xf numFmtId="0" fontId="9" fillId="0" borderId="5" xfId="0" applyFont="1" applyBorder="1" applyProtection="1">
      <protection hidden="1"/>
    </xf>
    <xf numFmtId="0" fontId="8" fillId="0" borderId="40" xfId="0" applyFont="1" applyBorder="1" applyAlignment="1" applyProtection="1">
      <alignment horizontal="center"/>
      <protection locked="0" hidden="1"/>
    </xf>
    <xf numFmtId="4" fontId="8" fillId="0" borderId="41" xfId="0" applyNumberFormat="1" applyFont="1" applyBorder="1" applyAlignment="1" applyProtection="1">
      <alignment horizontal="center" vertical="center"/>
      <protection locked="0" hidden="1"/>
    </xf>
    <xf numFmtId="4" fontId="8" fillId="7" borderId="41" xfId="0" applyNumberFormat="1" applyFont="1" applyFill="1" applyBorder="1" applyAlignment="1" applyProtection="1">
      <alignment horizontal="center"/>
      <protection locked="0" hidden="1"/>
    </xf>
    <xf numFmtId="4" fontId="8" fillId="0" borderId="41" xfId="0" applyNumberFormat="1" applyFont="1" applyBorder="1" applyAlignment="1" applyProtection="1">
      <alignment horizontal="center"/>
      <protection locked="0" hidden="1"/>
    </xf>
    <xf numFmtId="0" fontId="13" fillId="0" borderId="41" xfId="0" applyFont="1" applyBorder="1" applyAlignment="1" applyProtection="1">
      <alignment horizontal="center" vertical="center"/>
      <protection locked="0" hidden="1"/>
    </xf>
    <xf numFmtId="14" fontId="8" fillId="0" borderId="41" xfId="0" applyNumberFormat="1" applyFont="1" applyBorder="1" applyAlignment="1" applyProtection="1">
      <alignment horizontal="center"/>
      <protection locked="0" hidden="1"/>
    </xf>
    <xf numFmtId="0" fontId="8" fillId="4" borderId="41" xfId="0" applyFont="1" applyFill="1" applyBorder="1" applyAlignment="1" applyProtection="1">
      <alignment horizontal="center"/>
      <protection locked="0" hidden="1"/>
    </xf>
    <xf numFmtId="0" fontId="8" fillId="0" borderId="41" xfId="0" applyFont="1" applyBorder="1" applyAlignment="1" applyProtection="1">
      <alignment horizontal="center"/>
      <protection locked="0" hidden="1"/>
    </xf>
    <xf numFmtId="14" fontId="8" fillId="7" borderId="41" xfId="0" applyNumberFormat="1" applyFont="1" applyFill="1" applyBorder="1" applyAlignment="1" applyProtection="1">
      <alignment horizontal="center"/>
      <protection locked="0" hidden="1"/>
    </xf>
    <xf numFmtId="10" fontId="8" fillId="0" borderId="41" xfId="0" applyNumberFormat="1" applyFont="1" applyBorder="1" applyAlignment="1" applyProtection="1">
      <alignment horizontal="center" vertical="center"/>
      <protection locked="0" hidden="1"/>
    </xf>
    <xf numFmtId="2" fontId="8" fillId="7" borderId="41" xfId="1" applyNumberFormat="1" applyFont="1" applyFill="1" applyBorder="1" applyAlignment="1" applyProtection="1">
      <alignment horizontal="center" vertical="center"/>
      <protection locked="0" hidden="1"/>
    </xf>
    <xf numFmtId="10" fontId="8" fillId="7" borderId="41" xfId="2" applyNumberFormat="1" applyFont="1" applyFill="1" applyBorder="1" applyAlignment="1" applyProtection="1">
      <alignment horizontal="center"/>
      <protection locked="0" hidden="1"/>
    </xf>
    <xf numFmtId="2" fontId="8" fillId="0" borderId="41" xfId="1" applyNumberFormat="1" applyFont="1" applyBorder="1" applyAlignment="1" applyProtection="1">
      <alignment horizontal="center" vertical="center"/>
      <protection locked="0" hidden="1"/>
    </xf>
    <xf numFmtId="4" fontId="8" fillId="7" borderId="42" xfId="0" applyNumberFormat="1" applyFont="1" applyFill="1" applyBorder="1" applyAlignment="1" applyProtection="1">
      <alignment horizontal="center"/>
      <protection locked="0" hidden="1"/>
    </xf>
    <xf numFmtId="0" fontId="21" fillId="6" borderId="21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43" xfId="0" applyFont="1" applyFill="1" applyBorder="1" applyAlignment="1">
      <alignment horizontal="center" vertical="center" wrapText="1"/>
    </xf>
    <xf numFmtId="3" fontId="1" fillId="9" borderId="5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 applyProtection="1">
      <alignment horizontal="left" vertical="center" wrapText="1"/>
      <protection hidden="1"/>
    </xf>
    <xf numFmtId="0" fontId="14" fillId="6" borderId="0" xfId="0" applyFont="1" applyFill="1" applyBorder="1" applyAlignment="1" applyProtection="1">
      <alignment horizontal="left" vertical="center" wrapText="1"/>
      <protection hidden="1"/>
    </xf>
    <xf numFmtId="0" fontId="14" fillId="6" borderId="15" xfId="0" applyFont="1" applyFill="1" applyBorder="1" applyAlignment="1" applyProtection="1">
      <alignment horizontal="left" vertical="center" wrapText="1"/>
      <protection hidden="1"/>
    </xf>
    <xf numFmtId="0" fontId="0" fillId="8" borderId="0" xfId="0" applyFill="1" applyAlignment="1" applyProtection="1">
      <alignment horizontal="left" vertical="justify"/>
      <protection hidden="1"/>
    </xf>
    <xf numFmtId="0" fontId="1" fillId="8" borderId="0" xfId="0" applyFont="1" applyFill="1" applyAlignment="1" applyProtection="1">
      <alignment horizontal="justify" vertical="center" wrapText="1"/>
      <protection hidden="1"/>
    </xf>
    <xf numFmtId="0" fontId="0" fillId="8" borderId="0" xfId="0" applyFill="1" applyAlignment="1" applyProtection="1">
      <alignment horizontal="justify" vertical="center" wrapText="1"/>
      <protection hidden="1"/>
    </xf>
    <xf numFmtId="0" fontId="1" fillId="8" borderId="0" xfId="0" applyFont="1" applyFill="1" applyAlignment="1" applyProtection="1">
      <alignment horizontal="justify" vertical="top" wrapText="1"/>
      <protection hidden="1"/>
    </xf>
    <xf numFmtId="0" fontId="0" fillId="8" borderId="0" xfId="0" applyFill="1" applyAlignment="1" applyProtection="1">
      <alignment horizontal="justify" vertical="top" wrapText="1"/>
      <protection hidden="1"/>
    </xf>
    <xf numFmtId="0" fontId="14" fillId="6" borderId="3" xfId="0" applyFont="1" applyFill="1" applyBorder="1" applyProtection="1">
      <protection hidden="1"/>
    </xf>
    <xf numFmtId="0" fontId="14" fillId="6" borderId="4" xfId="0" applyFont="1" applyFill="1" applyBorder="1" applyProtection="1">
      <protection hidden="1"/>
    </xf>
    <xf numFmtId="0" fontId="14" fillId="6" borderId="1" xfId="0" applyFont="1" applyFill="1" applyBorder="1" applyProtection="1">
      <protection hidden="1"/>
    </xf>
    <xf numFmtId="0" fontId="14" fillId="6" borderId="0" xfId="0" applyFont="1" applyFill="1" applyProtection="1">
      <protection hidden="1"/>
    </xf>
    <xf numFmtId="0" fontId="17" fillId="2" borderId="19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 applyProtection="1">
      <alignment horizontal="left" vertical="top"/>
      <protection hidden="1"/>
    </xf>
    <xf numFmtId="0" fontId="14" fillId="6" borderId="0" xfId="0" applyFont="1" applyFill="1" applyAlignment="1" applyProtection="1">
      <alignment horizontal="left" vertical="top"/>
      <protection hidden="1"/>
    </xf>
    <xf numFmtId="0" fontId="14" fillId="2" borderId="27" xfId="0" applyFont="1" applyFill="1" applyBorder="1" applyAlignment="1" applyProtection="1">
      <alignment horizontal="center" vertical="center" wrapText="1"/>
      <protection hidden="1"/>
    </xf>
    <xf numFmtId="0" fontId="14" fillId="2" borderId="28" xfId="0" applyFont="1" applyFill="1" applyBorder="1" applyAlignment="1" applyProtection="1">
      <alignment horizontal="center" vertical="center" wrapText="1"/>
      <protection hidden="1"/>
    </xf>
    <xf numFmtId="0" fontId="14" fillId="6" borderId="8" xfId="0" applyFont="1" applyFill="1" applyBorder="1" applyProtection="1">
      <protection hidden="1"/>
    </xf>
    <xf numFmtId="0" fontId="14" fillId="6" borderId="9" xfId="0" applyFont="1" applyFill="1" applyBorder="1" applyProtection="1">
      <protection hidden="1"/>
    </xf>
    <xf numFmtId="0" fontId="14" fillId="6" borderId="10" xfId="0" applyFont="1" applyFill="1" applyBorder="1" applyProtection="1">
      <protection hidden="1"/>
    </xf>
    <xf numFmtId="0" fontId="10" fillId="3" borderId="8" xfId="0" applyFont="1" applyFill="1" applyBorder="1" applyAlignment="1" applyProtection="1">
      <alignment horizontal="center"/>
      <protection hidden="1"/>
    </xf>
    <xf numFmtId="0" fontId="11" fillId="3" borderId="9" xfId="0" applyFont="1" applyFill="1" applyBorder="1" applyProtection="1">
      <protection hidden="1"/>
    </xf>
    <xf numFmtId="0" fontId="11" fillId="3" borderId="10" xfId="0" applyFont="1" applyFill="1" applyBorder="1" applyProtection="1">
      <protection hidden="1"/>
    </xf>
    <xf numFmtId="0" fontId="14" fillId="6" borderId="22" xfId="0" applyFont="1" applyFill="1" applyBorder="1" applyProtection="1">
      <protection hidden="1"/>
    </xf>
    <xf numFmtId="0" fontId="14" fillId="6" borderId="19" xfId="0" applyFont="1" applyFill="1" applyBorder="1" applyProtection="1">
      <protection hidden="1"/>
    </xf>
    <xf numFmtId="0" fontId="14" fillId="6" borderId="1" xfId="0" applyFont="1" applyFill="1" applyBorder="1" applyAlignment="1" applyProtection="1">
      <alignment wrapText="1"/>
      <protection hidden="1"/>
    </xf>
    <xf numFmtId="0" fontId="14" fillId="6" borderId="0" xfId="0" applyFont="1" applyFill="1" applyAlignment="1" applyProtection="1">
      <alignment wrapText="1"/>
      <protection hidden="1"/>
    </xf>
    <xf numFmtId="0" fontId="14" fillId="6" borderId="0" xfId="0" applyFont="1" applyFill="1" applyAlignment="1" applyProtection="1">
      <alignment horizontal="left" vertical="center" wrapText="1"/>
      <protection hidden="1"/>
    </xf>
  </cellXfs>
  <cellStyles count="3">
    <cellStyle name="Millares" xfId="1" builtinId="3"/>
    <cellStyle name="Normal" xfId="0" builtinId="0"/>
    <cellStyle name="Porcentaje" xfId="2" builtinId="5"/>
  </cellStyles>
  <dxfs count="2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wmf"/><Relationship Id="rId7" Type="http://schemas.openxmlformats.org/officeDocument/2006/relationships/image" Target="../media/image8.emf"/><Relationship Id="rId2" Type="http://schemas.openxmlformats.org/officeDocument/2006/relationships/image" Target="../media/image3.wmf"/><Relationship Id="rId1" Type="http://schemas.openxmlformats.org/officeDocument/2006/relationships/image" Target="../media/image2.emf"/><Relationship Id="rId6" Type="http://schemas.openxmlformats.org/officeDocument/2006/relationships/image" Target="../media/image7.wmf"/><Relationship Id="rId5" Type="http://schemas.openxmlformats.org/officeDocument/2006/relationships/image" Target="../media/image6.wmf"/><Relationship Id="rId4" Type="http://schemas.openxmlformats.org/officeDocument/2006/relationships/image" Target="../media/image5.emf"/><Relationship Id="rId9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172418</xdr:colOff>
      <xdr:row>35</xdr:row>
      <xdr:rowOff>48866</xdr:rowOff>
    </xdr:from>
    <xdr:to>
      <xdr:col>4</xdr:col>
      <xdr:colOff>945736</xdr:colOff>
      <xdr:row>37</xdr:row>
      <xdr:rowOff>27609</xdr:rowOff>
    </xdr:to>
    <xdr:sp macro="" textlink="">
      <xdr:nvSpPr>
        <xdr:cNvPr id="1133" name="Text Box 109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172418" y="3541366"/>
          <a:ext cx="3906905" cy="151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just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PE" sz="800" b="1" i="1" baseline="0">
              <a:latin typeface="Arial" pitchFamily="34" charset="0"/>
              <a:ea typeface="+mn-ea"/>
              <a:cs typeface="Arial" pitchFamily="34" charset="0"/>
            </a:rPr>
            <a:t>Revisar las notas ubicadas al final del cronograma</a:t>
          </a:r>
        </a:p>
        <a:p>
          <a:pPr algn="just" rtl="0">
            <a:lnSpc>
              <a:spcPts val="700"/>
            </a:lnSpc>
            <a:defRPr sz="1000"/>
          </a:pPr>
          <a:endParaRPr lang="es-PE" sz="8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41413</xdr:colOff>
      <xdr:row>0</xdr:row>
      <xdr:rowOff>58317</xdr:rowOff>
    </xdr:from>
    <xdr:to>
      <xdr:col>3</xdr:col>
      <xdr:colOff>296793</xdr:colOff>
      <xdr:row>4</xdr:row>
      <xdr:rowOff>86422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772" y="58317"/>
          <a:ext cx="2091358" cy="690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3</xdr:col>
      <xdr:colOff>752475</xdr:colOff>
      <xdr:row>5</xdr:row>
      <xdr:rowOff>114300</xdr:rowOff>
    </xdr:to>
    <xdr:pic>
      <xdr:nvPicPr>
        <xdr:cNvPr id="3099" name="Picture 10">
          <a:extLst>
            <a:ext uri="{FF2B5EF4-FFF2-40B4-BE49-F238E27FC236}">
              <a16:creationId xmlns:a16="http://schemas.microsoft.com/office/drawing/2014/main" id="{00000000-0008-0000-0100-00001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23241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142875</xdr:colOff>
          <xdr:row>12</xdr:row>
          <xdr:rowOff>66675</xdr:rowOff>
        </xdr:from>
        <xdr:to>
          <xdr:col>4</xdr:col>
          <xdr:colOff>28575</xdr:colOff>
          <xdr:row>16</xdr:row>
          <xdr:rowOff>133350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95250</xdr:colOff>
          <xdr:row>24</xdr:row>
          <xdr:rowOff>57150</xdr:rowOff>
        </xdr:from>
        <xdr:to>
          <xdr:col>3</xdr:col>
          <xdr:colOff>485775</xdr:colOff>
          <xdr:row>28</xdr:row>
          <xdr:rowOff>19050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24</xdr:row>
          <xdr:rowOff>104775</xdr:rowOff>
        </xdr:from>
        <xdr:to>
          <xdr:col>6</xdr:col>
          <xdr:colOff>714375</xdr:colOff>
          <xdr:row>28</xdr:row>
          <xdr:rowOff>66675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30</xdr:row>
          <xdr:rowOff>142875</xdr:rowOff>
        </xdr:from>
        <xdr:to>
          <xdr:col>2</xdr:col>
          <xdr:colOff>457200</xdr:colOff>
          <xdr:row>33</xdr:row>
          <xdr:rowOff>28575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37</xdr:row>
          <xdr:rowOff>142875</xdr:rowOff>
        </xdr:from>
        <xdr:to>
          <xdr:col>2</xdr:col>
          <xdr:colOff>438150</xdr:colOff>
          <xdr:row>40</xdr:row>
          <xdr:rowOff>28575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20</xdr:row>
          <xdr:rowOff>57150</xdr:rowOff>
        </xdr:from>
        <xdr:to>
          <xdr:col>2</xdr:col>
          <xdr:colOff>714375</xdr:colOff>
          <xdr:row>22</xdr:row>
          <xdr:rowOff>66675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13</xdr:row>
          <xdr:rowOff>0</xdr:rowOff>
        </xdr:from>
        <xdr:to>
          <xdr:col>7</xdr:col>
          <xdr:colOff>209550</xdr:colOff>
          <xdr:row>16</xdr:row>
          <xdr:rowOff>104775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37</xdr:row>
          <xdr:rowOff>133350</xdr:rowOff>
        </xdr:from>
        <xdr:to>
          <xdr:col>6</xdr:col>
          <xdr:colOff>285750</xdr:colOff>
          <xdr:row>40</xdr:row>
          <xdr:rowOff>19050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30</xdr:row>
          <xdr:rowOff>95250</xdr:rowOff>
        </xdr:from>
        <xdr:to>
          <xdr:col>8</xdr:col>
          <xdr:colOff>752475</xdr:colOff>
          <xdr:row>34</xdr:row>
          <xdr:rowOff>95250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6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10.emf"/><Relationship Id="rId7" Type="http://schemas.openxmlformats.org/officeDocument/2006/relationships/image" Target="../media/image3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8.emf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5" Type="http://schemas.openxmlformats.org/officeDocument/2006/relationships/image" Target="../media/image7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9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4.wmf"/><Relationship Id="rId1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N124"/>
  <sheetViews>
    <sheetView showGridLines="0" tabSelected="1" zoomScaleNormal="100" workbookViewId="0">
      <selection activeCell="E14" sqref="E14"/>
    </sheetView>
  </sheetViews>
  <sheetFormatPr baseColWidth="10" defaultColWidth="0" defaultRowHeight="12.75" zeroHeight="1" x14ac:dyDescent="0.2"/>
  <cols>
    <col min="1" max="1" width="2.5703125" style="14" customWidth="1"/>
    <col min="2" max="2" width="11.5703125" style="14" customWidth="1"/>
    <col min="3" max="3" width="14.5703125" style="14" customWidth="1"/>
    <col min="4" max="4" width="16.28515625" style="14" customWidth="1"/>
    <col min="5" max="5" width="17.42578125" style="14" customWidth="1"/>
    <col min="6" max="6" width="12.5703125" style="14" customWidth="1"/>
    <col min="7" max="7" width="11.7109375" style="14" customWidth="1"/>
    <col min="8" max="8" width="14.42578125" style="15" customWidth="1"/>
    <col min="9" max="9" width="10.5703125" style="14" customWidth="1"/>
    <col min="10" max="10" width="10.5703125" style="14" hidden="1" customWidth="1"/>
    <col min="11" max="11" width="12.28515625" style="14" hidden="1" customWidth="1"/>
    <col min="12" max="12" width="12.42578125" style="14" customWidth="1"/>
    <col min="13" max="13" width="11.42578125" style="15" customWidth="1"/>
    <col min="14" max="14" width="2.5703125" style="14" customWidth="1"/>
    <col min="15" max="15" width="12.42578125" style="14" hidden="1" customWidth="1"/>
    <col min="16" max="16" width="17.28515625" style="14" hidden="1" customWidth="1"/>
    <col min="17" max="17" width="8.28515625" style="14" hidden="1" customWidth="1"/>
    <col min="18" max="18" width="6" style="14" hidden="1" customWidth="1"/>
    <col min="19" max="19" width="7" style="14" hidden="1" customWidth="1"/>
    <col min="20" max="20" width="7.42578125" style="14" hidden="1" customWidth="1"/>
    <col min="21" max="21" width="11.42578125" style="14" hidden="1" customWidth="1"/>
    <col min="22" max="22" width="2.7109375" style="14" hidden="1" customWidth="1"/>
    <col min="23" max="23" width="4.42578125" style="16" hidden="1" customWidth="1"/>
    <col min="24" max="24" width="12.5703125" style="16" hidden="1" customWidth="1"/>
    <col min="25" max="26" width="11.42578125" style="14" hidden="1" customWidth="1"/>
    <col min="27" max="29" width="9.7109375" style="14" hidden="1" customWidth="1"/>
    <col min="30" max="30" width="11.42578125" style="14" hidden="1" customWidth="1"/>
    <col min="31" max="31" width="2.7109375" style="14" hidden="1" customWidth="1"/>
    <col min="32" max="33" width="9.7109375" style="14" hidden="1" customWidth="1"/>
    <col min="34" max="16384" width="10.7109375" style="14" hidden="1"/>
  </cols>
  <sheetData>
    <row r="1" spans="1:22" x14ac:dyDescent="0.2">
      <c r="A1" s="58"/>
      <c r="B1" s="58"/>
      <c r="C1" s="58"/>
      <c r="D1" s="58"/>
      <c r="E1" s="58"/>
      <c r="F1" s="58"/>
      <c r="G1" s="58"/>
      <c r="H1" s="67"/>
      <c r="I1" s="58"/>
      <c r="J1" s="58"/>
      <c r="K1" s="58"/>
      <c r="L1" s="58"/>
      <c r="M1" s="67"/>
      <c r="N1" s="58"/>
    </row>
    <row r="2" spans="1:22" x14ac:dyDescent="0.2">
      <c r="A2" s="58"/>
      <c r="B2" s="58"/>
      <c r="C2" s="58"/>
      <c r="D2" s="58"/>
      <c r="E2" s="58"/>
      <c r="F2" s="58"/>
      <c r="G2" s="58"/>
      <c r="H2" s="67"/>
      <c r="I2" s="58"/>
      <c r="J2" s="58"/>
      <c r="K2" s="58"/>
      <c r="L2" s="58"/>
      <c r="M2" s="67"/>
      <c r="N2" s="58"/>
    </row>
    <row r="3" spans="1:22" x14ac:dyDescent="0.2">
      <c r="A3" s="58"/>
      <c r="B3" s="58"/>
      <c r="C3" s="58"/>
      <c r="D3" s="58"/>
      <c r="E3" s="58"/>
      <c r="F3" s="58"/>
      <c r="G3" s="58"/>
      <c r="H3" s="67"/>
      <c r="I3" s="58"/>
      <c r="J3" s="58"/>
      <c r="K3" s="58"/>
      <c r="L3" s="58"/>
      <c r="M3" s="67"/>
      <c r="N3" s="58"/>
    </row>
    <row r="4" spans="1:22" x14ac:dyDescent="0.2">
      <c r="A4" s="58"/>
      <c r="B4" s="58"/>
      <c r="C4" s="58"/>
      <c r="D4" s="58"/>
      <c r="E4" s="58"/>
      <c r="F4" s="58"/>
      <c r="G4" s="58"/>
      <c r="H4" s="67"/>
      <c r="I4" s="58"/>
      <c r="J4" s="58"/>
      <c r="K4" s="58"/>
      <c r="L4" s="58"/>
      <c r="M4" s="67"/>
      <c r="N4" s="58"/>
      <c r="T4" s="14">
        <v>2</v>
      </c>
      <c r="V4" s="14">
        <v>1</v>
      </c>
    </row>
    <row r="5" spans="1:22" ht="13.5" thickBot="1" x14ac:dyDescent="0.25">
      <c r="A5" s="58"/>
      <c r="B5" s="58"/>
      <c r="C5" s="58"/>
      <c r="D5" s="58"/>
      <c r="E5" s="58"/>
      <c r="F5" s="58"/>
      <c r="G5" s="58"/>
      <c r="H5" s="67"/>
      <c r="I5" s="58"/>
      <c r="J5" s="58"/>
      <c r="K5" s="58"/>
      <c r="L5" s="58"/>
      <c r="M5" s="67"/>
      <c r="N5" s="58"/>
      <c r="T5" s="14">
        <v>7</v>
      </c>
      <c r="V5" s="14">
        <v>2</v>
      </c>
    </row>
    <row r="6" spans="1:22" ht="24" thickBot="1" x14ac:dyDescent="0.4">
      <c r="A6" s="58"/>
      <c r="B6" s="155" t="s">
        <v>82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7"/>
      <c r="N6" s="58"/>
      <c r="T6" s="14">
        <v>14</v>
      </c>
      <c r="V6" s="14">
        <v>3</v>
      </c>
    </row>
    <row r="7" spans="1:22" ht="13.5" thickBot="1" x14ac:dyDescent="0.25">
      <c r="A7" s="58"/>
      <c r="B7" s="95"/>
      <c r="C7" s="54"/>
      <c r="D7" s="54"/>
      <c r="E7" s="54"/>
      <c r="F7" s="54"/>
      <c r="G7" s="54"/>
      <c r="H7" s="55"/>
      <c r="I7" s="56"/>
      <c r="J7" s="56"/>
      <c r="K7" s="56"/>
      <c r="L7" s="56"/>
      <c r="M7" s="57"/>
      <c r="N7" s="58"/>
      <c r="V7" s="14">
        <v>4</v>
      </c>
    </row>
    <row r="8" spans="1:22" x14ac:dyDescent="0.2">
      <c r="A8" s="58"/>
      <c r="B8" s="158" t="s">
        <v>0</v>
      </c>
      <c r="C8" s="159"/>
      <c r="D8" s="159"/>
      <c r="E8" s="114" t="s">
        <v>44</v>
      </c>
      <c r="F8" s="58"/>
      <c r="G8" s="58"/>
      <c r="H8" s="59"/>
      <c r="I8" s="60"/>
      <c r="J8" s="60"/>
      <c r="K8" s="60"/>
      <c r="L8" s="60"/>
      <c r="M8" s="61"/>
      <c r="N8" s="58"/>
      <c r="P8" s="23">
        <f ca="1">E17+23</f>
        <v>44951</v>
      </c>
      <c r="V8" s="14">
        <v>5</v>
      </c>
    </row>
    <row r="9" spans="1:22" x14ac:dyDescent="0.2">
      <c r="A9" s="58"/>
      <c r="B9" s="96" t="s">
        <v>73</v>
      </c>
      <c r="C9" s="97"/>
      <c r="D9" s="97"/>
      <c r="E9" s="115">
        <v>70000</v>
      </c>
      <c r="F9" s="58"/>
      <c r="G9" s="58"/>
      <c r="H9" s="59"/>
      <c r="I9" s="60"/>
      <c r="J9" s="60"/>
      <c r="K9" s="60"/>
      <c r="L9" s="60"/>
      <c r="M9" s="61"/>
      <c r="N9" s="58"/>
      <c r="P9" s="23"/>
    </row>
    <row r="10" spans="1:22" x14ac:dyDescent="0.2">
      <c r="A10" s="58"/>
      <c r="B10" s="96" t="s">
        <v>74</v>
      </c>
      <c r="C10" s="97"/>
      <c r="D10" s="97"/>
      <c r="E10" s="115">
        <v>14000</v>
      </c>
      <c r="F10" s="75"/>
      <c r="G10" s="75"/>
      <c r="H10" s="59"/>
      <c r="I10" s="60"/>
      <c r="J10" s="60"/>
      <c r="K10" s="60"/>
      <c r="L10" s="60"/>
      <c r="M10" s="61"/>
      <c r="N10" s="58"/>
      <c r="P10" s="23"/>
    </row>
    <row r="11" spans="1:22" ht="27.75" customHeight="1" x14ac:dyDescent="0.2">
      <c r="A11" s="58"/>
      <c r="B11" s="135" t="s">
        <v>87</v>
      </c>
      <c r="C11" s="162"/>
      <c r="D11" s="162"/>
      <c r="E11" s="115">
        <f>+IFERROR(IF(E8="Soles",VLOOKUP(E23,$AM$44:$AN$52,2,0)*4,VLOOKUP(E23,$AM$44:$AN$52,2,0)),"")</f>
        <v>3980</v>
      </c>
      <c r="F11" s="75"/>
      <c r="G11" s="75"/>
      <c r="H11" s="59"/>
      <c r="I11" s="60"/>
      <c r="J11" s="60"/>
      <c r="K11" s="60"/>
      <c r="L11" s="60"/>
      <c r="M11" s="61"/>
      <c r="N11" s="58"/>
      <c r="P11" s="23"/>
    </row>
    <row r="12" spans="1:22" x14ac:dyDescent="0.2">
      <c r="A12" s="58"/>
      <c r="B12" s="135" t="s">
        <v>88</v>
      </c>
      <c r="C12" s="136"/>
      <c r="D12" s="137"/>
      <c r="E12" s="115">
        <f>+IF(E8="Soles",115*4+80+11+E9*0.15%,115+(80+11)/4+E9*0.15%)</f>
        <v>656</v>
      </c>
      <c r="F12" s="75"/>
      <c r="G12" s="75"/>
      <c r="H12" s="59"/>
      <c r="I12" s="60"/>
      <c r="J12" s="60"/>
      <c r="K12" s="60"/>
      <c r="L12" s="60"/>
      <c r="M12" s="61"/>
      <c r="N12" s="58"/>
      <c r="P12" s="23"/>
    </row>
    <row r="13" spans="1:22" x14ac:dyDescent="0.2">
      <c r="A13" s="58"/>
      <c r="B13" s="96" t="s">
        <v>77</v>
      </c>
      <c r="C13" s="97"/>
      <c r="D13" s="97"/>
      <c r="E13" s="115">
        <f>+IF(E8="Soles",990*4,990)</f>
        <v>3960</v>
      </c>
      <c r="F13" s="75"/>
      <c r="G13" s="75"/>
      <c r="H13" s="59"/>
      <c r="I13" s="60"/>
      <c r="J13" s="60"/>
      <c r="K13" s="60"/>
      <c r="L13" s="60"/>
      <c r="M13" s="61"/>
      <c r="N13" s="58"/>
      <c r="P13" s="23"/>
    </row>
    <row r="14" spans="1:22" x14ac:dyDescent="0.2">
      <c r="A14" s="58"/>
      <c r="B14" s="145" t="s">
        <v>78</v>
      </c>
      <c r="C14" s="146"/>
      <c r="D14" s="146"/>
      <c r="E14" s="116">
        <f>+E9-E10+E11+E13+E12</f>
        <v>64596</v>
      </c>
      <c r="F14" s="75"/>
      <c r="G14" s="76"/>
      <c r="H14" s="59"/>
      <c r="I14" s="60"/>
      <c r="J14" s="60"/>
      <c r="K14" s="60"/>
      <c r="L14" s="60"/>
      <c r="M14" s="61"/>
      <c r="N14" s="58"/>
      <c r="O14" s="14">
        <f>IF(E8="Dólares",22000,66000)</f>
        <v>66000</v>
      </c>
      <c r="V14" s="14">
        <v>6</v>
      </c>
    </row>
    <row r="15" spans="1:22" ht="13.5" hidden="1" thickBot="1" x14ac:dyDescent="0.25">
      <c r="A15" s="58"/>
      <c r="B15" s="145" t="s">
        <v>49</v>
      </c>
      <c r="C15" s="146"/>
      <c r="D15" s="146"/>
      <c r="E15" s="117" t="s">
        <v>48</v>
      </c>
      <c r="F15" s="77" t="s">
        <v>36</v>
      </c>
      <c r="G15" s="78">
        <v>2</v>
      </c>
      <c r="H15" s="62" t="s">
        <v>67</v>
      </c>
      <c r="I15" s="63"/>
      <c r="J15" s="63"/>
      <c r="K15" s="63"/>
      <c r="L15" s="63"/>
      <c r="M15" s="61"/>
      <c r="N15" s="58"/>
      <c r="S15" s="14">
        <v>1</v>
      </c>
      <c r="T15" s="14">
        <v>1</v>
      </c>
      <c r="V15" s="14">
        <v>7</v>
      </c>
    </row>
    <row r="16" spans="1:22" x14ac:dyDescent="0.2">
      <c r="A16" s="58"/>
      <c r="B16" s="96" t="s">
        <v>49</v>
      </c>
      <c r="C16" s="97"/>
      <c r="D16" s="97"/>
      <c r="E16" s="118">
        <v>2</v>
      </c>
      <c r="F16" s="75"/>
      <c r="G16" s="75"/>
      <c r="H16" s="58"/>
      <c r="I16" s="60"/>
      <c r="J16" s="60"/>
      <c r="K16" s="59"/>
      <c r="L16" s="59"/>
      <c r="M16" s="61"/>
      <c r="N16" s="58"/>
      <c r="P16" s="14" t="s">
        <v>47</v>
      </c>
      <c r="Q16" s="79">
        <v>1.2700000000000001E-3</v>
      </c>
    </row>
    <row r="17" spans="1:22" x14ac:dyDescent="0.2">
      <c r="A17" s="58"/>
      <c r="B17" s="145" t="s">
        <v>2</v>
      </c>
      <c r="C17" s="146"/>
      <c r="D17" s="146"/>
      <c r="E17" s="119">
        <f ca="1">+TODAY()</f>
        <v>44928</v>
      </c>
      <c r="F17" s="75"/>
      <c r="G17" s="75"/>
      <c r="H17" s="59"/>
      <c r="I17" s="60"/>
      <c r="J17" s="60"/>
      <c r="K17" s="60"/>
      <c r="L17" s="60"/>
      <c r="M17" s="61"/>
      <c r="N17" s="58"/>
      <c r="P17" s="14" t="s">
        <v>83</v>
      </c>
      <c r="Q17" s="80">
        <v>1.897E-3</v>
      </c>
      <c r="S17" s="14">
        <f>S15+1</f>
        <v>2</v>
      </c>
      <c r="T17" s="14">
        <v>1</v>
      </c>
      <c r="V17" s="14">
        <v>8</v>
      </c>
    </row>
    <row r="18" spans="1:22" hidden="1" x14ac:dyDescent="0.2">
      <c r="A18" s="58"/>
      <c r="B18" s="145" t="s">
        <v>34</v>
      </c>
      <c r="C18" s="146"/>
      <c r="D18" s="146"/>
      <c r="E18" s="120">
        <v>0</v>
      </c>
      <c r="F18" s="65" t="s">
        <v>37</v>
      </c>
      <c r="G18" s="58"/>
      <c r="H18" s="59"/>
      <c r="I18" s="60"/>
      <c r="J18" s="60"/>
      <c r="K18" s="60"/>
      <c r="L18" s="60"/>
      <c r="M18" s="61"/>
      <c r="N18" s="58"/>
      <c r="P18" s="14" t="s">
        <v>45</v>
      </c>
      <c r="Q18" s="14">
        <v>0</v>
      </c>
      <c r="S18" s="14">
        <f t="shared" ref="S18:S24" si="0">S17+1</f>
        <v>3</v>
      </c>
      <c r="T18" s="14">
        <v>1</v>
      </c>
      <c r="V18" s="14">
        <v>9</v>
      </c>
    </row>
    <row r="19" spans="1:22" x14ac:dyDescent="0.2">
      <c r="A19" s="58"/>
      <c r="B19" s="145" t="s">
        <v>52</v>
      </c>
      <c r="C19" s="146"/>
      <c r="D19" s="146"/>
      <c r="E19" s="121" t="s">
        <v>35</v>
      </c>
      <c r="F19" s="58"/>
      <c r="G19" s="58"/>
      <c r="H19" s="58"/>
      <c r="I19" s="58"/>
      <c r="J19" s="58"/>
      <c r="K19" s="58"/>
      <c r="L19" s="58"/>
      <c r="M19" s="61"/>
      <c r="N19" s="58"/>
      <c r="S19" s="14">
        <f t="shared" si="0"/>
        <v>4</v>
      </c>
      <c r="T19" s="14">
        <v>1</v>
      </c>
      <c r="V19" s="14">
        <v>10</v>
      </c>
    </row>
    <row r="20" spans="1:22" x14ac:dyDescent="0.2">
      <c r="A20" s="58"/>
      <c r="B20" s="145" t="s">
        <v>55</v>
      </c>
      <c r="C20" s="146"/>
      <c r="D20" s="146"/>
      <c r="E20" s="122">
        <f ca="1">IF(DAY(P8)&gt;=E16,DATE(YEAR(P8),MONTH(P8)+1+E18,DAY(E16)),DATE(YEAR(P8),MONTH(P8)+E18,DAY(E16)))</f>
        <v>44959</v>
      </c>
      <c r="F20" s="58"/>
      <c r="G20" s="58"/>
      <c r="H20" s="58"/>
      <c r="I20" s="58"/>
      <c r="J20" s="58"/>
      <c r="K20" s="58"/>
      <c r="L20" s="58"/>
      <c r="M20" s="61"/>
      <c r="N20" s="58"/>
      <c r="S20" s="14">
        <f t="shared" si="0"/>
        <v>5</v>
      </c>
      <c r="T20" s="14">
        <v>1</v>
      </c>
      <c r="V20" s="14">
        <v>11</v>
      </c>
    </row>
    <row r="21" spans="1:22" ht="27.75" customHeight="1" x14ac:dyDescent="0.2">
      <c r="A21" s="58"/>
      <c r="B21" s="160" t="s">
        <v>70</v>
      </c>
      <c r="C21" s="161"/>
      <c r="D21" s="161"/>
      <c r="E21" s="123">
        <v>0.12989999999999999</v>
      </c>
      <c r="F21" s="64"/>
      <c r="G21" s="87">
        <f>ROUND((1+E21)^(1/12) -1,8)</f>
        <v>1.022939E-2</v>
      </c>
      <c r="H21" s="74"/>
      <c r="I21" s="60"/>
      <c r="J21" s="60"/>
      <c r="K21" s="60"/>
      <c r="L21" s="60"/>
      <c r="M21" s="61"/>
      <c r="N21" s="58"/>
      <c r="S21" s="14">
        <f t="shared" si="0"/>
        <v>6</v>
      </c>
      <c r="T21" s="14">
        <v>1</v>
      </c>
      <c r="V21" s="14">
        <v>12</v>
      </c>
    </row>
    <row r="22" spans="1:22" hidden="1" x14ac:dyDescent="0.2">
      <c r="A22" s="58"/>
      <c r="B22" s="160" t="s">
        <v>28</v>
      </c>
      <c r="C22" s="161"/>
      <c r="D22" s="161"/>
      <c r="E22" s="123"/>
      <c r="F22" s="65" t="s">
        <v>37</v>
      </c>
      <c r="G22" s="87">
        <f>(1+E31)^(1/30) -1</f>
        <v>4.2307369336302969E-5</v>
      </c>
      <c r="H22" s="67"/>
      <c r="I22" s="60"/>
      <c r="J22" s="60"/>
      <c r="K22" s="60"/>
      <c r="L22" s="60"/>
      <c r="M22" s="61"/>
      <c r="N22" s="58"/>
      <c r="S22" s="14">
        <f t="shared" si="0"/>
        <v>7</v>
      </c>
      <c r="T22" s="14">
        <f>IF($E$19="No",1,2)</f>
        <v>1</v>
      </c>
      <c r="V22" s="14">
        <v>13</v>
      </c>
    </row>
    <row r="23" spans="1:22" x14ac:dyDescent="0.2">
      <c r="A23" s="58"/>
      <c r="B23" s="145" t="s">
        <v>62</v>
      </c>
      <c r="C23" s="146"/>
      <c r="D23" s="146"/>
      <c r="E23" s="121">
        <v>60</v>
      </c>
      <c r="F23" s="64"/>
      <c r="G23" s="88">
        <f>ROUND((1+G21)^(1/30)*(1+G22) -1,8)</f>
        <v>3.8162999999999999E-4</v>
      </c>
      <c r="H23" s="67"/>
      <c r="I23" s="82"/>
      <c r="J23" s="60"/>
      <c r="K23" s="60"/>
      <c r="L23" s="60"/>
      <c r="M23" s="61"/>
      <c r="N23" s="58"/>
      <c r="S23" s="14">
        <f t="shared" si="0"/>
        <v>8</v>
      </c>
      <c r="T23" s="14">
        <v>1</v>
      </c>
      <c r="V23" s="14">
        <v>14</v>
      </c>
    </row>
    <row r="24" spans="1:22" hidden="1" x14ac:dyDescent="0.2">
      <c r="A24" s="58"/>
      <c r="B24" s="145" t="s">
        <v>39</v>
      </c>
      <c r="C24" s="146"/>
      <c r="D24" s="146"/>
      <c r="E24" s="117">
        <f ca="1">ROUND(E14/SUMPRODUCT(O41:O112,P41:P112),2)</f>
        <v>1503.26</v>
      </c>
      <c r="F24" s="66"/>
      <c r="G24" s="69"/>
      <c r="H24" s="67"/>
      <c r="I24" s="83"/>
      <c r="J24" s="60"/>
      <c r="K24" s="60"/>
      <c r="L24" s="60"/>
      <c r="M24" s="61"/>
      <c r="N24" s="58"/>
      <c r="S24" s="14">
        <f t="shared" si="0"/>
        <v>9</v>
      </c>
      <c r="T24" s="14">
        <v>1</v>
      </c>
      <c r="V24" s="14">
        <v>15</v>
      </c>
    </row>
    <row r="25" spans="1:22" x14ac:dyDescent="0.2">
      <c r="A25" s="58"/>
      <c r="B25" s="148" t="s">
        <v>71</v>
      </c>
      <c r="C25" s="149"/>
      <c r="D25" s="149"/>
      <c r="E25" s="117" t="s">
        <v>53</v>
      </c>
      <c r="F25" s="58"/>
      <c r="G25" s="69"/>
      <c r="H25" s="59"/>
      <c r="I25" s="60"/>
      <c r="J25" s="60"/>
      <c r="K25" s="60"/>
      <c r="L25" s="60"/>
      <c r="M25" s="61"/>
      <c r="N25" s="58"/>
      <c r="V25" s="14">
        <v>16</v>
      </c>
    </row>
    <row r="26" spans="1:22" x14ac:dyDescent="0.2">
      <c r="A26" s="58"/>
      <c r="B26" s="145" t="s">
        <v>50</v>
      </c>
      <c r="C26" s="146"/>
      <c r="D26" s="146"/>
      <c r="E26" s="124">
        <f>IF(E25="Físico",VLOOKUP(E8,S35:T37,2,0),0)</f>
        <v>10</v>
      </c>
      <c r="F26" s="58"/>
      <c r="G26" s="58"/>
      <c r="H26" s="67"/>
      <c r="I26" s="58"/>
      <c r="J26" s="58"/>
      <c r="K26" s="58"/>
      <c r="L26" s="58"/>
      <c r="M26" s="68"/>
      <c r="N26" s="58"/>
      <c r="O26" s="14">
        <v>389.48</v>
      </c>
      <c r="S26" s="14">
        <f>S24+1</f>
        <v>10</v>
      </c>
      <c r="T26" s="14">
        <v>1</v>
      </c>
      <c r="V26" s="14">
        <v>17</v>
      </c>
    </row>
    <row r="27" spans="1:22" ht="12.6" customHeight="1" x14ac:dyDescent="0.2">
      <c r="A27" s="58"/>
      <c r="B27" s="96" t="s">
        <v>79</v>
      </c>
      <c r="C27" s="97"/>
      <c r="D27" s="97"/>
      <c r="E27" s="125">
        <v>0.06</v>
      </c>
      <c r="F27" s="58"/>
      <c r="G27" s="58"/>
      <c r="H27" s="67"/>
      <c r="I27" s="58"/>
      <c r="J27" s="58"/>
      <c r="K27" s="58"/>
      <c r="L27" s="58"/>
      <c r="M27" s="68"/>
      <c r="N27" s="58"/>
    </row>
    <row r="28" spans="1:22" ht="12.6" hidden="1" customHeight="1" x14ac:dyDescent="0.2">
      <c r="A28" s="58"/>
      <c r="B28" s="96" t="s">
        <v>80</v>
      </c>
      <c r="C28" s="97"/>
      <c r="D28" s="97"/>
      <c r="E28" s="126">
        <f>+E27*E9/12</f>
        <v>350</v>
      </c>
      <c r="F28" s="58"/>
      <c r="G28" s="58"/>
      <c r="H28" s="67"/>
      <c r="I28" s="58"/>
      <c r="J28" s="58"/>
      <c r="K28" s="58"/>
      <c r="L28" s="58"/>
      <c r="M28" s="68"/>
      <c r="N28" s="58"/>
    </row>
    <row r="29" spans="1:22" x14ac:dyDescent="0.2">
      <c r="A29" s="58"/>
      <c r="B29" s="96" t="s">
        <v>46</v>
      </c>
      <c r="C29" s="97"/>
      <c r="D29" s="97"/>
      <c r="E29" s="117" t="s">
        <v>47</v>
      </c>
      <c r="F29" s="58"/>
      <c r="G29" s="58"/>
      <c r="H29" s="67"/>
      <c r="I29" s="58"/>
      <c r="J29" s="58"/>
      <c r="K29" s="58"/>
      <c r="L29" s="58"/>
      <c r="M29" s="68"/>
      <c r="N29" s="58"/>
    </row>
    <row r="30" spans="1:22" ht="13.5" thickBot="1" x14ac:dyDescent="0.25">
      <c r="A30" s="58"/>
      <c r="B30" s="143" t="s">
        <v>26</v>
      </c>
      <c r="C30" s="144"/>
      <c r="D30" s="144"/>
      <c r="E30" s="127">
        <f ca="1">E24+E26+E28</f>
        <v>1863.26</v>
      </c>
      <c r="F30" s="58"/>
      <c r="G30" s="58"/>
      <c r="H30" s="67"/>
      <c r="I30" s="58"/>
      <c r="J30" s="58"/>
      <c r="K30" s="58"/>
      <c r="L30" s="58"/>
      <c r="M30" s="68"/>
      <c r="N30" s="58"/>
      <c r="S30" s="14">
        <f>S26+1</f>
        <v>11</v>
      </c>
      <c r="T30" s="14">
        <v>1</v>
      </c>
      <c r="V30" s="14">
        <v>18</v>
      </c>
    </row>
    <row r="31" spans="1:22" ht="12.6" hidden="1" customHeight="1" thickBot="1" x14ac:dyDescent="0.25">
      <c r="A31" s="58"/>
      <c r="B31" s="98" t="s">
        <v>72</v>
      </c>
      <c r="C31" s="99"/>
      <c r="D31" s="99"/>
      <c r="E31" s="53">
        <f>+VLOOKUP(E29,P16:Q18,2,0)</f>
        <v>1.2700000000000001E-3</v>
      </c>
      <c r="F31" s="58"/>
      <c r="G31" s="58"/>
      <c r="H31" s="67"/>
      <c r="I31" s="58"/>
      <c r="J31" s="58"/>
      <c r="K31" s="58"/>
      <c r="L31" s="58"/>
      <c r="M31" s="68"/>
      <c r="N31" s="58"/>
      <c r="V31" s="14">
        <v>19</v>
      </c>
    </row>
    <row r="32" spans="1:22" hidden="1" x14ac:dyDescent="0.2">
      <c r="A32" s="58"/>
      <c r="B32" s="100" t="s">
        <v>14</v>
      </c>
      <c r="C32" s="101"/>
      <c r="D32" s="102"/>
      <c r="E32" s="103"/>
      <c r="F32" s="65" t="s">
        <v>37</v>
      </c>
      <c r="G32" s="58"/>
      <c r="H32" s="67"/>
      <c r="I32" s="58"/>
      <c r="J32" s="58"/>
      <c r="K32" s="58"/>
      <c r="L32" s="58"/>
      <c r="M32" s="68"/>
      <c r="N32" s="58"/>
      <c r="S32" s="14">
        <f>S30+1</f>
        <v>12</v>
      </c>
      <c r="T32" s="14">
        <f>IF($E$19="No",1,2)</f>
        <v>1</v>
      </c>
      <c r="V32" s="14">
        <v>20</v>
      </c>
    </row>
    <row r="33" spans="1:40" ht="13.5" hidden="1" thickBot="1" x14ac:dyDescent="0.25">
      <c r="A33" s="58"/>
      <c r="B33" s="104" t="s">
        <v>15</v>
      </c>
      <c r="C33" s="105"/>
      <c r="D33" s="106"/>
      <c r="E33" s="107"/>
      <c r="F33" s="65" t="s">
        <v>38</v>
      </c>
      <c r="G33" s="58"/>
      <c r="H33" s="67"/>
      <c r="I33" s="58"/>
      <c r="J33" s="58"/>
      <c r="K33" s="58"/>
      <c r="L33" s="58"/>
      <c r="M33" s="68"/>
      <c r="N33" s="58"/>
      <c r="V33" s="14">
        <v>21</v>
      </c>
    </row>
    <row r="34" spans="1:40" ht="13.5" thickBot="1" x14ac:dyDescent="0.25">
      <c r="A34" s="58"/>
      <c r="B34" s="108"/>
      <c r="C34" s="58"/>
      <c r="D34" s="58"/>
      <c r="E34" s="109"/>
      <c r="F34" s="58"/>
      <c r="G34" s="58"/>
      <c r="H34" s="67"/>
      <c r="I34" s="58"/>
      <c r="J34" s="58"/>
      <c r="K34" s="58"/>
      <c r="L34" s="58"/>
      <c r="M34" s="68"/>
      <c r="N34" s="58"/>
      <c r="V34" s="14">
        <v>22</v>
      </c>
    </row>
    <row r="35" spans="1:40" ht="13.5" thickBot="1" x14ac:dyDescent="0.25">
      <c r="A35" s="58"/>
      <c r="B35" s="152" t="s">
        <v>69</v>
      </c>
      <c r="C35" s="153"/>
      <c r="D35" s="154"/>
      <c r="E35" s="52">
        <f ca="1">(1+F35)^12-1</f>
        <v>0.26975209170113446</v>
      </c>
      <c r="F35" s="89">
        <f ca="1">IRR(M40:M112,10%)</f>
        <v>2.0101167807312192E-2</v>
      </c>
      <c r="G35" s="69"/>
      <c r="H35" s="70"/>
      <c r="I35" s="70"/>
      <c r="J35" s="70"/>
      <c r="K35" s="71">
        <f ca="1">SUM(G40:G112)</f>
        <v>22730.790000000012</v>
      </c>
      <c r="L35" s="58"/>
      <c r="M35" s="68"/>
      <c r="N35" s="58"/>
      <c r="R35" s="14" t="s">
        <v>53</v>
      </c>
      <c r="S35" s="14" t="s">
        <v>43</v>
      </c>
      <c r="T35" s="73">
        <v>2.5</v>
      </c>
      <c r="V35" s="14">
        <v>23</v>
      </c>
    </row>
    <row r="36" spans="1:40" x14ac:dyDescent="0.2">
      <c r="A36" s="58"/>
      <c r="B36" s="110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8"/>
      <c r="N36" s="58"/>
      <c r="R36" s="14" t="s">
        <v>54</v>
      </c>
      <c r="S36" s="14" t="s">
        <v>44</v>
      </c>
      <c r="T36" s="73">
        <f>+T35*4</f>
        <v>10</v>
      </c>
      <c r="V36" s="14">
        <v>24</v>
      </c>
    </row>
    <row r="37" spans="1:40" ht="13.5" thickBot="1" x14ac:dyDescent="0.25">
      <c r="A37" s="58"/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3"/>
      <c r="N37" s="67"/>
      <c r="S37" s="14" t="s">
        <v>35</v>
      </c>
      <c r="T37" s="14">
        <v>0</v>
      </c>
      <c r="V37" s="14">
        <v>25</v>
      </c>
    </row>
    <row r="38" spans="1:40" s="18" customFormat="1" ht="45" customHeight="1" thickBot="1" x14ac:dyDescent="0.25">
      <c r="A38" s="90"/>
      <c r="B38" s="28" t="s">
        <v>59</v>
      </c>
      <c r="C38" s="29" t="s">
        <v>1</v>
      </c>
      <c r="D38" s="30" t="s">
        <v>60</v>
      </c>
      <c r="E38" s="31" t="s">
        <v>13</v>
      </c>
      <c r="F38" s="32" t="s">
        <v>58</v>
      </c>
      <c r="G38" s="33" t="s">
        <v>57</v>
      </c>
      <c r="H38" s="72" t="s">
        <v>56</v>
      </c>
      <c r="I38" s="33" t="s">
        <v>75</v>
      </c>
      <c r="J38" s="72"/>
      <c r="K38" s="29" t="s">
        <v>81</v>
      </c>
      <c r="L38" s="32" t="s">
        <v>50</v>
      </c>
      <c r="M38" s="34" t="s">
        <v>61</v>
      </c>
      <c r="N38" s="90"/>
      <c r="V38" s="14">
        <v>26</v>
      </c>
      <c r="W38" s="147" t="s">
        <v>27</v>
      </c>
      <c r="X38" s="147"/>
      <c r="Y38" s="81" t="s">
        <v>76</v>
      </c>
      <c r="AF38" s="18" t="s">
        <v>41</v>
      </c>
      <c r="AG38" s="18" t="s">
        <v>42</v>
      </c>
    </row>
    <row r="39" spans="1:40" s="19" customFormat="1" ht="13.35" hidden="1" customHeight="1" x14ac:dyDescent="0.2">
      <c r="A39" s="91"/>
      <c r="B39" s="35"/>
      <c r="C39" s="36"/>
      <c r="D39" s="150" t="s">
        <v>40</v>
      </c>
      <c r="E39" s="151"/>
      <c r="F39" s="37">
        <f t="shared" ref="F39:G39" ca="1" si="1">SUM(F41:F112)</f>
        <v>64595.999999999985</v>
      </c>
      <c r="G39" s="38">
        <f t="shared" ca="1" si="1"/>
        <v>22730.790000000012</v>
      </c>
      <c r="H39" s="38">
        <f ca="1">SUM(H41:H112)</f>
        <v>2821.9</v>
      </c>
      <c r="I39" s="39">
        <f>SUM(I41:I112)</f>
        <v>21000</v>
      </c>
      <c r="J39" s="41"/>
      <c r="K39" s="40">
        <f ca="1">SUM(K41:K112)</f>
        <v>90148.68999999993</v>
      </c>
      <c r="L39" s="86">
        <f>SUM(L41:L112)</f>
        <v>600</v>
      </c>
      <c r="M39" s="42">
        <f ca="1">SUM(M41:M112)</f>
        <v>111748.68999999989</v>
      </c>
      <c r="N39" s="91"/>
      <c r="V39" s="14">
        <v>27</v>
      </c>
    </row>
    <row r="40" spans="1:40" hidden="1" x14ac:dyDescent="0.2">
      <c r="A40" s="58"/>
      <c r="B40" s="43">
        <v>0</v>
      </c>
      <c r="C40" s="44">
        <f ca="1">+E17</f>
        <v>44928</v>
      </c>
      <c r="D40" s="45">
        <f>E14</f>
        <v>64596</v>
      </c>
      <c r="E40" s="46">
        <f t="shared" ref="E40:E71" si="2">+D40-F40</f>
        <v>64596</v>
      </c>
      <c r="F40" s="47"/>
      <c r="G40" s="47"/>
      <c r="H40" s="47"/>
      <c r="I40" s="47"/>
      <c r="J40" s="47"/>
      <c r="K40" s="84"/>
      <c r="L40" s="47"/>
      <c r="M40" s="85">
        <f>-(D40-H40)</f>
        <v>-64596</v>
      </c>
      <c r="N40" s="58"/>
      <c r="O40" s="20">
        <f ca="1">IF(B40&lt;=$E$23,1/(1+$E$22)^((C40-$C$40)/360),0)</f>
        <v>1</v>
      </c>
      <c r="P40" s="21"/>
      <c r="Q40" s="22">
        <f t="shared" ref="Q40:Q71" ca="1" si="3">C40-$C$40</f>
        <v>0</v>
      </c>
      <c r="V40" s="14">
        <v>28</v>
      </c>
      <c r="AA40" s="23">
        <f ca="1">E17</f>
        <v>44928</v>
      </c>
      <c r="AB40" s="23">
        <f ca="1">AA40</f>
        <v>44928</v>
      </c>
      <c r="AC40" s="23">
        <f ca="1">AB40</f>
        <v>44928</v>
      </c>
      <c r="AE40" s="16">
        <v>0</v>
      </c>
      <c r="AF40" s="23">
        <f ca="1">C40</f>
        <v>44928</v>
      </c>
      <c r="AG40" s="23">
        <f ca="1">C40</f>
        <v>44928</v>
      </c>
    </row>
    <row r="41" spans="1:40" x14ac:dyDescent="0.2">
      <c r="A41" s="58"/>
      <c r="B41" s="43">
        <v>1</v>
      </c>
      <c r="C41" s="44">
        <f ca="1">$E$20</f>
        <v>44959</v>
      </c>
      <c r="D41" s="45">
        <f t="shared" ref="D41:D72" si="4">+E40</f>
        <v>64596</v>
      </c>
      <c r="E41" s="46">
        <f t="shared" ca="1" si="2"/>
        <v>63860.43</v>
      </c>
      <c r="F41" s="47">
        <f ca="1">IF(B41&lt;$E$23,ROUND($E$24*P41,2)-G41-H41,D41)</f>
        <v>735.57</v>
      </c>
      <c r="G41" s="47">
        <f ca="1">IF($E$24*P41-H41&lt;ROUND(S41,2),$E$24*P41-H41,ROUND(S41,2))</f>
        <v>682.92</v>
      </c>
      <c r="H41" s="47">
        <f ca="1">ROUND(W41,2)</f>
        <v>84.77</v>
      </c>
      <c r="I41" s="47">
        <f>ROUND(Y41,2)</f>
        <v>350</v>
      </c>
      <c r="J41" s="47"/>
      <c r="K41" s="45">
        <f ca="1">+G41+F41+H41</f>
        <v>1503.26</v>
      </c>
      <c r="L41" s="47">
        <f t="shared" ref="L41:L72" si="5">+IF(B41&lt;=$E$23,$E$26,0)</f>
        <v>10</v>
      </c>
      <c r="M41" s="48">
        <f ca="1">SUM(K41,L41)+I41</f>
        <v>1863.26</v>
      </c>
      <c r="N41" s="58"/>
      <c r="O41" s="20">
        <f t="shared" ref="O41:O72" ca="1" si="6">IF(B41&lt;=$E$23,ROUND((1+$G$23)^(-Q41),8),0)</f>
        <v>0.98824140999999999</v>
      </c>
      <c r="P41" s="24">
        <f t="shared" ref="P41:P72" ca="1" si="7">VLOOKUP(MONTH(C41),$S$15:$T$32,2,0)</f>
        <v>1</v>
      </c>
      <c r="Q41" s="22">
        <f t="shared" ca="1" si="3"/>
        <v>31</v>
      </c>
      <c r="S41" s="25">
        <f t="shared" ref="S41" ca="1" si="8">D41*((1+$E$21)^((C41-C40)/360)-1)+T40*((1+$E$21)^((C41-C40)/360)-0)</f>
        <v>682.91989080191559</v>
      </c>
      <c r="T41" s="26">
        <f ca="1">ROUND(S41-G41,2)</f>
        <v>0</v>
      </c>
      <c r="V41" s="14">
        <v>29</v>
      </c>
      <c r="W41" s="27">
        <f t="shared" ref="W41:W88" ca="1" si="9">ROUND(IF(B41&lt;=$E$23,D41*((1+$G$22)^(Q41-Q40) -1),0),2)</f>
        <v>84.77</v>
      </c>
      <c r="X41" s="27"/>
      <c r="Y41" s="14">
        <f t="shared" ref="Y41:Y72" si="10">IF(B41&lt;=$E$23,ROUND($E$27*$E$9/12,8),0)</f>
        <v>350</v>
      </c>
      <c r="AA41" s="23">
        <f ca="1">E20</f>
        <v>44959</v>
      </c>
      <c r="AB41" s="23">
        <f ca="1">AA41</f>
        <v>44959</v>
      </c>
      <c r="AC41" s="23">
        <f ca="1">AB41</f>
        <v>44959</v>
      </c>
      <c r="AE41" s="16">
        <v>1</v>
      </c>
      <c r="AF41" s="23">
        <f ca="1">C41</f>
        <v>44959</v>
      </c>
      <c r="AG41" s="23">
        <f ca="1">C41</f>
        <v>44959</v>
      </c>
    </row>
    <row r="42" spans="1:40" x14ac:dyDescent="0.2">
      <c r="A42" s="58"/>
      <c r="B42" s="43">
        <v>2</v>
      </c>
      <c r="C42" s="44">
        <f ca="1">IF($E$15="Año Base 360",AG42,AF42)</f>
        <v>44987</v>
      </c>
      <c r="D42" s="45">
        <f t="shared" ca="1" si="4"/>
        <v>63860.43</v>
      </c>
      <c r="E42" s="46">
        <f t="shared" ca="1" si="2"/>
        <v>63042.36</v>
      </c>
      <c r="F42" s="47">
        <f t="shared" ref="F42:F105" ca="1" si="11">IF(B42&lt;$E$23,ROUND($E$24*P42,2)-G42-H42,D42)</f>
        <v>818.06999999999994</v>
      </c>
      <c r="G42" s="47">
        <f t="shared" ref="G42:G105" ca="1" si="12">IF($E$24*P42-H42&lt;ROUND(S42,2),$E$24*P42-H42,ROUND(S42,2))</f>
        <v>609.5</v>
      </c>
      <c r="H42" s="47">
        <f t="shared" ref="H42:H105" ca="1" si="13">ROUND(W42,2)</f>
        <v>75.69</v>
      </c>
      <c r="I42" s="47">
        <f t="shared" ref="I42:I105" si="14">ROUND(Y42,2)</f>
        <v>350</v>
      </c>
      <c r="J42" s="47"/>
      <c r="K42" s="45">
        <f t="shared" ref="K42:K105" ca="1" si="15">+G42+F42+H42</f>
        <v>1503.26</v>
      </c>
      <c r="L42" s="47">
        <f>+IF(B42&lt;=$E$23,$E$26,0)</f>
        <v>10</v>
      </c>
      <c r="M42" s="48">
        <f t="shared" ref="M42:M105" ca="1" si="16">SUM(K42,L42)+I42</f>
        <v>1863.26</v>
      </c>
      <c r="N42" s="58"/>
      <c r="O42" s="20">
        <f t="shared" ca="1" si="6"/>
        <v>0.97773962999999997</v>
      </c>
      <c r="P42" s="24">
        <f t="shared" ca="1" si="7"/>
        <v>1</v>
      </c>
      <c r="Q42" s="22">
        <f t="shared" ca="1" si="3"/>
        <v>59</v>
      </c>
      <c r="S42" s="25">
        <f ca="1">+IF(B42&lt;=$E$23,D42*((1+$E$21)^((C42-C41)/360)-1)+T41*((1+$E$21)^((C42-C41)/360)-0),0)</f>
        <v>609.49611779095494</v>
      </c>
      <c r="T42" s="26">
        <f t="shared" ref="T42:T105" ca="1" si="17">ROUND(S42-G42,2)</f>
        <v>0</v>
      </c>
      <c r="V42" s="14">
        <v>30</v>
      </c>
      <c r="W42" s="27">
        <f t="shared" ca="1" si="9"/>
        <v>75.69</v>
      </c>
      <c r="X42" s="27"/>
      <c r="Y42" s="14">
        <f t="shared" si="10"/>
        <v>350</v>
      </c>
      <c r="AA42" s="23">
        <f t="shared" ref="AA42:AA73" ca="1" si="18">IF($E$15="Mensual",C41+30,DATE(YEAR(C41),MONTH(C41)+1,DAY(C41)))</f>
        <v>44987</v>
      </c>
      <c r="AB42" s="23">
        <f t="shared" ref="AB42:AB88" ca="1" si="19">IF($G$15=31,DATE(YEAR(AB41),MONTH(AB41)+2,0),AA42)</f>
        <v>44987</v>
      </c>
      <c r="AC42" s="23">
        <f t="shared" ref="AC42:AC105" ca="1" si="20">IF(AND(MONTH(AC41)+1=2,OR($G$15=29,$G$15=30)),DATE(YEAR(AC41),MONTH(AC41)+2,0),DATE(YEAR(AC41),MONTH(AC41)+1,DAY($G$15)))</f>
        <v>44987</v>
      </c>
      <c r="AE42" s="16">
        <v>2</v>
      </c>
      <c r="AF42" s="23">
        <f t="shared" ref="AF42:AF73" ca="1" si="21">IF(DAY(EOMONTH(C41,1))&lt;$G$15,DATE(YEAR(C41),MONTH(C41)+2,0),DATE(YEAR(C41),MONTH(C41)+1,DAY($G$15)))</f>
        <v>44987</v>
      </c>
      <c r="AG42" s="23">
        <f ca="1">AG41+30</f>
        <v>44989</v>
      </c>
    </row>
    <row r="43" spans="1:40" ht="13.5" thickBot="1" x14ac:dyDescent="0.25">
      <c r="A43" s="58"/>
      <c r="B43" s="43">
        <v>3</v>
      </c>
      <c r="C43" s="44">
        <f t="shared" ref="C43:C106" ca="1" si="22">IF($E$15="Año Base 360",AG43,AF43)</f>
        <v>45018</v>
      </c>
      <c r="D43" s="45">
        <f t="shared" ca="1" si="4"/>
        <v>63042.36</v>
      </c>
      <c r="E43" s="46">
        <f t="shared" ca="1" si="2"/>
        <v>62288.32</v>
      </c>
      <c r="F43" s="47">
        <f t="shared" ca="1" si="11"/>
        <v>754.04</v>
      </c>
      <c r="G43" s="47">
        <f t="shared" ca="1" si="12"/>
        <v>666.49</v>
      </c>
      <c r="H43" s="47">
        <f t="shared" ca="1" si="13"/>
        <v>82.73</v>
      </c>
      <c r="I43" s="47">
        <f t="shared" si="14"/>
        <v>350</v>
      </c>
      <c r="J43" s="47"/>
      <c r="K43" s="45">
        <f t="shared" ca="1" si="15"/>
        <v>1503.26</v>
      </c>
      <c r="L43" s="47">
        <f t="shared" si="5"/>
        <v>10</v>
      </c>
      <c r="M43" s="48">
        <f t="shared" ca="1" si="16"/>
        <v>1863.26</v>
      </c>
      <c r="N43" s="58"/>
      <c r="O43" s="20">
        <f t="shared" ca="1" si="6"/>
        <v>0.96624277999999997</v>
      </c>
      <c r="P43" s="24">
        <f t="shared" ca="1" si="7"/>
        <v>1</v>
      </c>
      <c r="Q43" s="22">
        <f t="shared" ca="1" si="3"/>
        <v>90</v>
      </c>
      <c r="S43" s="25">
        <f t="shared" ref="S43:S106" ca="1" si="23">+IF(B43&lt;=$E$23,D43*((1+$E$21)^((C43-C42)/360)-1)+T42*((1+$E$21)^((C43-C42)/360)-0),0)</f>
        <v>666.49454466367968</v>
      </c>
      <c r="T43" s="26">
        <f t="shared" ca="1" si="17"/>
        <v>0</v>
      </c>
      <c r="V43" s="14">
        <v>31</v>
      </c>
      <c r="W43" s="27">
        <f t="shared" ca="1" si="9"/>
        <v>82.73</v>
      </c>
      <c r="X43" s="27"/>
      <c r="Y43" s="14">
        <f t="shared" si="10"/>
        <v>350</v>
      </c>
      <c r="AA43" s="23">
        <f t="shared" ca="1" si="18"/>
        <v>45018</v>
      </c>
      <c r="AB43" s="23">
        <f t="shared" ca="1" si="19"/>
        <v>45018</v>
      </c>
      <c r="AC43" s="23">
        <f t="shared" ca="1" si="20"/>
        <v>45018</v>
      </c>
      <c r="AE43" s="16">
        <v>3</v>
      </c>
      <c r="AF43" s="23">
        <f t="shared" ca="1" si="21"/>
        <v>45018</v>
      </c>
      <c r="AG43" s="23">
        <f t="shared" ref="AG43:AG106" ca="1" si="24">AG42+30</f>
        <v>45019</v>
      </c>
    </row>
    <row r="44" spans="1:40" ht="13.5" thickBot="1" x14ac:dyDescent="0.25">
      <c r="A44" s="58"/>
      <c r="B44" s="43">
        <v>4</v>
      </c>
      <c r="C44" s="44">
        <f t="shared" ca="1" si="22"/>
        <v>45048</v>
      </c>
      <c r="D44" s="45">
        <f t="shared" ca="1" si="4"/>
        <v>62288.32</v>
      </c>
      <c r="E44" s="46">
        <f t="shared" ca="1" si="2"/>
        <v>61501.34</v>
      </c>
      <c r="F44" s="47">
        <f t="shared" ca="1" si="11"/>
        <v>786.98</v>
      </c>
      <c r="G44" s="47">
        <f t="shared" ca="1" si="12"/>
        <v>637.16999999999996</v>
      </c>
      <c r="H44" s="47">
        <f t="shared" ca="1" si="13"/>
        <v>79.11</v>
      </c>
      <c r="I44" s="47">
        <f t="shared" si="14"/>
        <v>350</v>
      </c>
      <c r="J44" s="47"/>
      <c r="K44" s="45">
        <f t="shared" ca="1" si="15"/>
        <v>1503.26</v>
      </c>
      <c r="L44" s="47">
        <f t="shared" si="5"/>
        <v>10</v>
      </c>
      <c r="M44" s="48">
        <f t="shared" ca="1" si="16"/>
        <v>1863.26</v>
      </c>
      <c r="N44" s="58"/>
      <c r="O44" s="20">
        <f t="shared" ca="1" si="6"/>
        <v>0.95524553999999995</v>
      </c>
      <c r="P44" s="24">
        <f t="shared" ca="1" si="7"/>
        <v>1</v>
      </c>
      <c r="Q44" s="22">
        <f t="shared" ca="1" si="3"/>
        <v>120</v>
      </c>
      <c r="S44" s="25">
        <f t="shared" ca="1" si="23"/>
        <v>637.1717626273819</v>
      </c>
      <c r="T44" s="26">
        <f t="shared" ca="1" si="17"/>
        <v>0</v>
      </c>
      <c r="W44" s="27">
        <f t="shared" ca="1" si="9"/>
        <v>79.11</v>
      </c>
      <c r="X44" s="27"/>
      <c r="Y44" s="14">
        <f t="shared" si="10"/>
        <v>350</v>
      </c>
      <c r="AA44" s="23">
        <f t="shared" ca="1" si="18"/>
        <v>45048</v>
      </c>
      <c r="AB44" s="23">
        <f t="shared" ca="1" si="19"/>
        <v>45048</v>
      </c>
      <c r="AC44" s="23">
        <f t="shared" ca="1" si="20"/>
        <v>45048</v>
      </c>
      <c r="AE44" s="16">
        <v>4</v>
      </c>
      <c r="AF44" s="23">
        <f t="shared" ca="1" si="21"/>
        <v>45048</v>
      </c>
      <c r="AG44" s="23">
        <f t="shared" ca="1" si="24"/>
        <v>45049</v>
      </c>
      <c r="AM44" s="128" t="s">
        <v>85</v>
      </c>
      <c r="AN44" s="129" t="s">
        <v>86</v>
      </c>
    </row>
    <row r="45" spans="1:40" ht="13.5" thickBot="1" x14ac:dyDescent="0.25">
      <c r="A45" s="58"/>
      <c r="B45" s="43">
        <v>5</v>
      </c>
      <c r="C45" s="44">
        <f t="shared" ca="1" si="22"/>
        <v>45079</v>
      </c>
      <c r="D45" s="45">
        <f t="shared" ca="1" si="4"/>
        <v>61501.34</v>
      </c>
      <c r="E45" s="46">
        <f t="shared" ca="1" si="2"/>
        <v>60728.99</v>
      </c>
      <c r="F45" s="47">
        <f t="shared" ca="1" si="11"/>
        <v>772.34999999999991</v>
      </c>
      <c r="G45" s="47">
        <f t="shared" ca="1" si="12"/>
        <v>650.20000000000005</v>
      </c>
      <c r="H45" s="47">
        <f t="shared" ca="1" si="13"/>
        <v>80.709999999999994</v>
      </c>
      <c r="I45" s="47">
        <f t="shared" si="14"/>
        <v>350</v>
      </c>
      <c r="J45" s="47"/>
      <c r="K45" s="45">
        <f t="shared" ca="1" si="15"/>
        <v>1503.26</v>
      </c>
      <c r="L45" s="47">
        <f t="shared" si="5"/>
        <v>10</v>
      </c>
      <c r="M45" s="48">
        <f t="shared" ca="1" si="16"/>
        <v>1863.26</v>
      </c>
      <c r="N45" s="58"/>
      <c r="O45" s="20">
        <f t="shared" ca="1" si="6"/>
        <v>0.94401318999999995</v>
      </c>
      <c r="P45" s="24">
        <f t="shared" ca="1" si="7"/>
        <v>1</v>
      </c>
      <c r="Q45" s="22">
        <f t="shared" ca="1" si="3"/>
        <v>151</v>
      </c>
      <c r="S45" s="25">
        <f t="shared" ca="1" si="23"/>
        <v>650.20261931035179</v>
      </c>
      <c r="T45" s="26">
        <f t="shared" ca="1" si="17"/>
        <v>0</v>
      </c>
      <c r="W45" s="27">
        <f t="shared" ca="1" si="9"/>
        <v>80.709999999999994</v>
      </c>
      <c r="X45" s="27"/>
      <c r="Y45" s="14">
        <f t="shared" si="10"/>
        <v>350</v>
      </c>
      <c r="AA45" s="23">
        <f t="shared" ca="1" si="18"/>
        <v>45079</v>
      </c>
      <c r="AB45" s="23">
        <f t="shared" ca="1" si="19"/>
        <v>45079</v>
      </c>
      <c r="AC45" s="23">
        <f t="shared" ca="1" si="20"/>
        <v>45079</v>
      </c>
      <c r="AE45" s="16">
        <v>5</v>
      </c>
      <c r="AF45" s="23">
        <f t="shared" ca="1" si="21"/>
        <v>45079</v>
      </c>
      <c r="AG45" s="23">
        <f t="shared" ca="1" si="24"/>
        <v>45079</v>
      </c>
      <c r="AM45" s="130">
        <v>72</v>
      </c>
      <c r="AN45" s="134">
        <v>1145</v>
      </c>
    </row>
    <row r="46" spans="1:40" ht="13.5" thickBot="1" x14ac:dyDescent="0.25">
      <c r="A46" s="58"/>
      <c r="B46" s="43">
        <v>6</v>
      </c>
      <c r="C46" s="44">
        <f t="shared" ca="1" si="22"/>
        <v>45109</v>
      </c>
      <c r="D46" s="45">
        <f t="shared" ca="1" si="4"/>
        <v>60728.99</v>
      </c>
      <c r="E46" s="46">
        <f t="shared" ca="1" si="2"/>
        <v>59924.079999999994</v>
      </c>
      <c r="F46" s="47">
        <f t="shared" ca="1" si="11"/>
        <v>804.91</v>
      </c>
      <c r="G46" s="47">
        <f t="shared" ca="1" si="12"/>
        <v>621.22</v>
      </c>
      <c r="H46" s="47">
        <f t="shared" ca="1" si="13"/>
        <v>77.13</v>
      </c>
      <c r="I46" s="47">
        <f t="shared" si="14"/>
        <v>350</v>
      </c>
      <c r="J46" s="47"/>
      <c r="K46" s="45">
        <f t="shared" ca="1" si="15"/>
        <v>1503.2600000000002</v>
      </c>
      <c r="L46" s="47">
        <f t="shared" si="5"/>
        <v>10</v>
      </c>
      <c r="M46" s="48">
        <f t="shared" ca="1" si="16"/>
        <v>1863.2600000000002</v>
      </c>
      <c r="N46" s="58"/>
      <c r="O46" s="20">
        <f t="shared" ca="1" si="6"/>
        <v>0.93326894999999999</v>
      </c>
      <c r="P46" s="24">
        <f t="shared" ca="1" si="7"/>
        <v>1</v>
      </c>
      <c r="Q46" s="22">
        <f t="shared" ca="1" si="3"/>
        <v>181</v>
      </c>
      <c r="S46" s="25">
        <f t="shared" ca="1" si="23"/>
        <v>621.22076178777411</v>
      </c>
      <c r="T46" s="26">
        <f t="shared" ca="1" si="17"/>
        <v>0</v>
      </c>
      <c r="W46" s="27">
        <f t="shared" ca="1" si="9"/>
        <v>77.13</v>
      </c>
      <c r="X46" s="27"/>
      <c r="Y46" s="14">
        <f t="shared" si="10"/>
        <v>350</v>
      </c>
      <c r="AA46" s="23">
        <f t="shared" ca="1" si="18"/>
        <v>45109</v>
      </c>
      <c r="AB46" s="23">
        <f t="shared" ca="1" si="19"/>
        <v>45109</v>
      </c>
      <c r="AC46" s="23">
        <f t="shared" ca="1" si="20"/>
        <v>45109</v>
      </c>
      <c r="AE46" s="16">
        <v>6</v>
      </c>
      <c r="AF46" s="23">
        <f t="shared" ca="1" si="21"/>
        <v>45109</v>
      </c>
      <c r="AG46" s="23">
        <f t="shared" ca="1" si="24"/>
        <v>45109</v>
      </c>
      <c r="AM46" s="130">
        <v>60</v>
      </c>
      <c r="AN46" s="131">
        <v>995</v>
      </c>
    </row>
    <row r="47" spans="1:40" ht="13.5" thickBot="1" x14ac:dyDescent="0.25">
      <c r="A47" s="58"/>
      <c r="B47" s="43">
        <v>7</v>
      </c>
      <c r="C47" s="44">
        <f t="shared" ca="1" si="22"/>
        <v>45140</v>
      </c>
      <c r="D47" s="45">
        <f t="shared" ca="1" si="4"/>
        <v>59924.079999999994</v>
      </c>
      <c r="E47" s="46">
        <f t="shared" ca="1" si="2"/>
        <v>59132.99</v>
      </c>
      <c r="F47" s="47">
        <f t="shared" ca="1" si="11"/>
        <v>791.09</v>
      </c>
      <c r="G47" s="47">
        <f t="shared" ca="1" si="12"/>
        <v>633.53</v>
      </c>
      <c r="H47" s="47">
        <f t="shared" ca="1" si="13"/>
        <v>78.64</v>
      </c>
      <c r="I47" s="47">
        <f t="shared" si="14"/>
        <v>350</v>
      </c>
      <c r="J47" s="47"/>
      <c r="K47" s="45">
        <f t="shared" ca="1" si="15"/>
        <v>1503.26</v>
      </c>
      <c r="L47" s="47">
        <f t="shared" si="5"/>
        <v>10</v>
      </c>
      <c r="M47" s="48">
        <f t="shared" ca="1" si="16"/>
        <v>1863.26</v>
      </c>
      <c r="N47" s="58"/>
      <c r="O47" s="20">
        <f t="shared" ca="1" si="6"/>
        <v>0.92229501999999997</v>
      </c>
      <c r="P47" s="24">
        <f t="shared" ca="1" si="7"/>
        <v>1</v>
      </c>
      <c r="Q47" s="22">
        <f t="shared" ca="1" si="3"/>
        <v>212</v>
      </c>
      <c r="S47" s="25">
        <f t="shared" ca="1" si="23"/>
        <v>633.52755851763663</v>
      </c>
      <c r="T47" s="26">
        <f t="shared" ca="1" si="17"/>
        <v>0</v>
      </c>
      <c r="W47" s="27">
        <f t="shared" ca="1" si="9"/>
        <v>78.64</v>
      </c>
      <c r="X47" s="27"/>
      <c r="Y47" s="14">
        <f t="shared" si="10"/>
        <v>350</v>
      </c>
      <c r="AA47" s="23">
        <f t="shared" ca="1" si="18"/>
        <v>45140</v>
      </c>
      <c r="AB47" s="23">
        <f t="shared" ca="1" si="19"/>
        <v>45140</v>
      </c>
      <c r="AC47" s="23">
        <f t="shared" ca="1" si="20"/>
        <v>45140</v>
      </c>
      <c r="AE47" s="16">
        <v>7</v>
      </c>
      <c r="AF47" s="23">
        <f t="shared" ca="1" si="21"/>
        <v>45140</v>
      </c>
      <c r="AG47" s="23">
        <f t="shared" ca="1" si="24"/>
        <v>45139</v>
      </c>
      <c r="AM47" s="130">
        <v>48</v>
      </c>
      <c r="AN47" s="131">
        <v>880</v>
      </c>
    </row>
    <row r="48" spans="1:40" x14ac:dyDescent="0.2">
      <c r="A48" s="58"/>
      <c r="B48" s="43">
        <v>8</v>
      </c>
      <c r="C48" s="44">
        <f t="shared" ca="1" si="22"/>
        <v>45171</v>
      </c>
      <c r="D48" s="45">
        <f t="shared" ca="1" si="4"/>
        <v>59132.99</v>
      </c>
      <c r="E48" s="46">
        <f t="shared" ca="1" si="2"/>
        <v>58332.49</v>
      </c>
      <c r="F48" s="47">
        <f t="shared" ca="1" si="11"/>
        <v>800.5</v>
      </c>
      <c r="G48" s="47">
        <f t="shared" ca="1" si="12"/>
        <v>625.16</v>
      </c>
      <c r="H48" s="47">
        <f t="shared" ca="1" si="13"/>
        <v>77.599999999999994</v>
      </c>
      <c r="I48" s="47">
        <f t="shared" si="14"/>
        <v>350</v>
      </c>
      <c r="J48" s="47"/>
      <c r="K48" s="45">
        <f t="shared" ca="1" si="15"/>
        <v>1503.2599999999998</v>
      </c>
      <c r="L48" s="47">
        <f t="shared" si="5"/>
        <v>10</v>
      </c>
      <c r="M48" s="48">
        <f t="shared" ca="1" si="16"/>
        <v>1863.2599999999998</v>
      </c>
      <c r="N48" s="58"/>
      <c r="O48" s="20">
        <f t="shared" ca="1" si="6"/>
        <v>0.91145012999999997</v>
      </c>
      <c r="P48" s="24">
        <f t="shared" ca="1" si="7"/>
        <v>1</v>
      </c>
      <c r="Q48" s="22">
        <f t="shared" ca="1" si="3"/>
        <v>243</v>
      </c>
      <c r="S48" s="25">
        <f t="shared" ca="1" si="23"/>
        <v>625.16402058317487</v>
      </c>
      <c r="T48" s="26">
        <f t="shared" ca="1" si="17"/>
        <v>0</v>
      </c>
      <c r="W48" s="27">
        <f t="shared" ca="1" si="9"/>
        <v>77.599999999999994</v>
      </c>
      <c r="X48" s="27"/>
      <c r="Y48" s="14">
        <f t="shared" si="10"/>
        <v>350</v>
      </c>
      <c r="AA48" s="23">
        <f t="shared" ca="1" si="18"/>
        <v>45171</v>
      </c>
      <c r="AB48" s="23">
        <f t="shared" ca="1" si="19"/>
        <v>45171</v>
      </c>
      <c r="AC48" s="23">
        <f t="shared" ca="1" si="20"/>
        <v>45171</v>
      </c>
      <c r="AE48" s="16">
        <v>8</v>
      </c>
      <c r="AF48" s="23">
        <f t="shared" ca="1" si="21"/>
        <v>45171</v>
      </c>
      <c r="AG48" s="23">
        <f t="shared" ca="1" si="24"/>
        <v>45169</v>
      </c>
      <c r="AM48" s="133">
        <v>37</v>
      </c>
      <c r="AN48" s="132">
        <v>470</v>
      </c>
    </row>
    <row r="49" spans="1:40" ht="13.5" thickBot="1" x14ac:dyDescent="0.25">
      <c r="A49" s="58"/>
      <c r="B49" s="43">
        <v>9</v>
      </c>
      <c r="C49" s="44">
        <f t="shared" ca="1" si="22"/>
        <v>45201</v>
      </c>
      <c r="D49" s="45">
        <f t="shared" ca="1" si="4"/>
        <v>58332.49</v>
      </c>
      <c r="E49" s="46">
        <f t="shared" ca="1" si="2"/>
        <v>57500.02</v>
      </c>
      <c r="F49" s="47">
        <f t="shared" ca="1" si="11"/>
        <v>832.46999999999991</v>
      </c>
      <c r="G49" s="47">
        <f t="shared" ca="1" si="12"/>
        <v>596.71</v>
      </c>
      <c r="H49" s="47">
        <f t="shared" ca="1" si="13"/>
        <v>74.08</v>
      </c>
      <c r="I49" s="47">
        <f t="shared" si="14"/>
        <v>350</v>
      </c>
      <c r="J49" s="47"/>
      <c r="K49" s="45">
        <f t="shared" ca="1" si="15"/>
        <v>1503.2599999999998</v>
      </c>
      <c r="L49" s="47">
        <f t="shared" si="5"/>
        <v>10</v>
      </c>
      <c r="M49" s="48">
        <f t="shared" ca="1" si="16"/>
        <v>1863.2599999999998</v>
      </c>
      <c r="N49" s="58"/>
      <c r="O49" s="20">
        <f t="shared" ca="1" si="6"/>
        <v>0.90107649999999995</v>
      </c>
      <c r="P49" s="24">
        <f t="shared" ca="1" si="7"/>
        <v>1</v>
      </c>
      <c r="Q49" s="22">
        <f t="shared" ca="1" si="3"/>
        <v>273</v>
      </c>
      <c r="S49" s="25">
        <f t="shared" ca="1" si="23"/>
        <v>596.70601923031677</v>
      </c>
      <c r="T49" s="26">
        <f t="shared" ca="1" si="17"/>
        <v>0</v>
      </c>
      <c r="W49" s="27">
        <f t="shared" ca="1" si="9"/>
        <v>74.08</v>
      </c>
      <c r="X49" s="27"/>
      <c r="Y49" s="14">
        <f t="shared" si="10"/>
        <v>350</v>
      </c>
      <c r="AA49" s="23">
        <f t="shared" ca="1" si="18"/>
        <v>45201</v>
      </c>
      <c r="AB49" s="23">
        <f t="shared" ca="1" si="19"/>
        <v>45201</v>
      </c>
      <c r="AC49" s="23">
        <f t="shared" ca="1" si="20"/>
        <v>45201</v>
      </c>
      <c r="AE49" s="16">
        <v>9</v>
      </c>
      <c r="AF49" s="23">
        <f t="shared" ca="1" si="21"/>
        <v>45201</v>
      </c>
      <c r="AG49" s="23">
        <f t="shared" ca="1" si="24"/>
        <v>45199</v>
      </c>
      <c r="AM49" s="130">
        <v>36</v>
      </c>
      <c r="AN49" s="131">
        <v>720</v>
      </c>
    </row>
    <row r="50" spans="1:40" x14ac:dyDescent="0.2">
      <c r="A50" s="58"/>
      <c r="B50" s="43">
        <v>10</v>
      </c>
      <c r="C50" s="44">
        <f t="shared" ca="1" si="22"/>
        <v>45232</v>
      </c>
      <c r="D50" s="45">
        <f t="shared" ca="1" si="4"/>
        <v>57500.02</v>
      </c>
      <c r="E50" s="46">
        <f t="shared" ca="1" si="2"/>
        <v>56680.119999999995</v>
      </c>
      <c r="F50" s="47">
        <f t="shared" ca="1" si="11"/>
        <v>819.9</v>
      </c>
      <c r="G50" s="47">
        <f t="shared" ca="1" si="12"/>
        <v>607.9</v>
      </c>
      <c r="H50" s="47">
        <f t="shared" ca="1" si="13"/>
        <v>75.459999999999994</v>
      </c>
      <c r="I50" s="47">
        <f t="shared" si="14"/>
        <v>350</v>
      </c>
      <c r="J50" s="47"/>
      <c r="K50" s="45">
        <f t="shared" ca="1" si="15"/>
        <v>1503.26</v>
      </c>
      <c r="L50" s="47">
        <f t="shared" si="5"/>
        <v>10</v>
      </c>
      <c r="M50" s="48">
        <f t="shared" ca="1" si="16"/>
        <v>1863.26</v>
      </c>
      <c r="N50" s="58"/>
      <c r="O50" s="20">
        <f t="shared" ca="1" si="6"/>
        <v>0.89048110999999996</v>
      </c>
      <c r="P50" s="24">
        <f t="shared" ca="1" si="7"/>
        <v>1</v>
      </c>
      <c r="Q50" s="22">
        <f t="shared" ca="1" si="3"/>
        <v>304</v>
      </c>
      <c r="S50" s="25">
        <f t="shared" ca="1" si="23"/>
        <v>607.89998420193137</v>
      </c>
      <c r="T50" s="26">
        <f t="shared" ca="1" si="17"/>
        <v>0</v>
      </c>
      <c r="W50" s="27">
        <f t="shared" ca="1" si="9"/>
        <v>75.459999999999994</v>
      </c>
      <c r="X50" s="27"/>
      <c r="Y50" s="14">
        <f t="shared" si="10"/>
        <v>350</v>
      </c>
      <c r="AA50" s="23">
        <f t="shared" ca="1" si="18"/>
        <v>45232</v>
      </c>
      <c r="AB50" s="23">
        <f t="shared" ca="1" si="19"/>
        <v>45232</v>
      </c>
      <c r="AC50" s="23">
        <f t="shared" ca="1" si="20"/>
        <v>45232</v>
      </c>
      <c r="AE50" s="16">
        <v>10</v>
      </c>
      <c r="AF50" s="23">
        <f t="shared" ca="1" si="21"/>
        <v>45232</v>
      </c>
      <c r="AG50" s="23">
        <f t="shared" ca="1" si="24"/>
        <v>45229</v>
      </c>
      <c r="AM50" s="133">
        <v>25</v>
      </c>
      <c r="AN50" s="132">
        <v>498</v>
      </c>
    </row>
    <row r="51" spans="1:40" ht="13.5" thickBot="1" x14ac:dyDescent="0.25">
      <c r="A51" s="58"/>
      <c r="B51" s="43">
        <v>11</v>
      </c>
      <c r="C51" s="44">
        <f t="shared" ca="1" si="22"/>
        <v>45262</v>
      </c>
      <c r="D51" s="45">
        <f t="shared" ca="1" si="4"/>
        <v>56680.119999999995</v>
      </c>
      <c r="E51" s="46">
        <f t="shared" ca="1" si="2"/>
        <v>55828.639999999992</v>
      </c>
      <c r="F51" s="47">
        <f t="shared" ca="1" si="11"/>
        <v>851.48</v>
      </c>
      <c r="G51" s="47">
        <f t="shared" ca="1" si="12"/>
        <v>579.79999999999995</v>
      </c>
      <c r="H51" s="47">
        <f t="shared" ca="1" si="13"/>
        <v>71.98</v>
      </c>
      <c r="I51" s="47">
        <f t="shared" si="14"/>
        <v>350</v>
      </c>
      <c r="J51" s="47"/>
      <c r="K51" s="45">
        <f t="shared" ca="1" si="15"/>
        <v>1503.26</v>
      </c>
      <c r="L51" s="47">
        <f t="shared" si="5"/>
        <v>10</v>
      </c>
      <c r="M51" s="48">
        <f t="shared" ca="1" si="16"/>
        <v>1863.26</v>
      </c>
      <c r="N51" s="58"/>
      <c r="O51" s="20">
        <f t="shared" ca="1" si="6"/>
        <v>0.88034614</v>
      </c>
      <c r="P51" s="24">
        <f t="shared" ca="1" si="7"/>
        <v>1</v>
      </c>
      <c r="Q51" s="22">
        <f t="shared" ca="1" si="3"/>
        <v>334</v>
      </c>
      <c r="S51" s="25">
        <f t="shared" ca="1" si="23"/>
        <v>579.80327557929832</v>
      </c>
      <c r="T51" s="26">
        <f t="shared" ca="1" si="17"/>
        <v>0</v>
      </c>
      <c r="W51" s="27">
        <f t="shared" ca="1" si="9"/>
        <v>71.98</v>
      </c>
      <c r="X51" s="27"/>
      <c r="Y51" s="14">
        <f t="shared" si="10"/>
        <v>350</v>
      </c>
      <c r="AA51" s="23">
        <f t="shared" ca="1" si="18"/>
        <v>45262</v>
      </c>
      <c r="AB51" s="23">
        <f t="shared" ca="1" si="19"/>
        <v>45262</v>
      </c>
      <c r="AC51" s="23">
        <f t="shared" ca="1" si="20"/>
        <v>45262</v>
      </c>
      <c r="AE51" s="16">
        <v>11</v>
      </c>
      <c r="AF51" s="23">
        <f t="shared" ca="1" si="21"/>
        <v>45262</v>
      </c>
      <c r="AG51" s="23">
        <f t="shared" ca="1" si="24"/>
        <v>45259</v>
      </c>
      <c r="AM51" s="130">
        <v>24</v>
      </c>
      <c r="AN51" s="131">
        <v>498</v>
      </c>
    </row>
    <row r="52" spans="1:40" ht="13.5" thickBot="1" x14ac:dyDescent="0.25">
      <c r="A52" s="58"/>
      <c r="B52" s="43">
        <v>12</v>
      </c>
      <c r="C52" s="44">
        <f t="shared" ca="1" si="22"/>
        <v>45293</v>
      </c>
      <c r="D52" s="45">
        <f t="shared" ca="1" si="4"/>
        <v>55828.639999999992</v>
      </c>
      <c r="E52" s="46">
        <f t="shared" ca="1" si="2"/>
        <v>54988.87999999999</v>
      </c>
      <c r="F52" s="47">
        <f t="shared" ca="1" si="11"/>
        <v>839.76</v>
      </c>
      <c r="G52" s="47">
        <f t="shared" ca="1" si="12"/>
        <v>590.23</v>
      </c>
      <c r="H52" s="47">
        <f t="shared" ca="1" si="13"/>
        <v>73.27</v>
      </c>
      <c r="I52" s="47">
        <f t="shared" si="14"/>
        <v>350</v>
      </c>
      <c r="J52" s="47"/>
      <c r="K52" s="45">
        <f t="shared" ca="1" si="15"/>
        <v>1503.26</v>
      </c>
      <c r="L52" s="47">
        <f t="shared" si="5"/>
        <v>10</v>
      </c>
      <c r="M52" s="48">
        <f t="shared" ca="1" si="16"/>
        <v>1863.26</v>
      </c>
      <c r="N52" s="58"/>
      <c r="O52" s="20">
        <f t="shared" ca="1" si="6"/>
        <v>0.86999451000000005</v>
      </c>
      <c r="P52" s="24">
        <f t="shared" ca="1" si="7"/>
        <v>1</v>
      </c>
      <c r="Q52" s="22">
        <f t="shared" ca="1" si="3"/>
        <v>365</v>
      </c>
      <c r="S52" s="25">
        <f t="shared" ca="1" si="23"/>
        <v>590.22987077248524</v>
      </c>
      <c r="T52" s="26">
        <f t="shared" ca="1" si="17"/>
        <v>0</v>
      </c>
      <c r="W52" s="27">
        <f t="shared" ca="1" si="9"/>
        <v>73.27</v>
      </c>
      <c r="X52" s="27"/>
      <c r="Y52" s="14">
        <f t="shared" si="10"/>
        <v>350</v>
      </c>
      <c r="AA52" s="23">
        <f t="shared" ca="1" si="18"/>
        <v>45293</v>
      </c>
      <c r="AB52" s="23">
        <f t="shared" ca="1" si="19"/>
        <v>45293</v>
      </c>
      <c r="AC52" s="23">
        <f t="shared" ca="1" si="20"/>
        <v>45293</v>
      </c>
      <c r="AE52" s="16">
        <v>12</v>
      </c>
      <c r="AF52" s="23">
        <f t="shared" ca="1" si="21"/>
        <v>45293</v>
      </c>
      <c r="AG52" s="23">
        <f t="shared" ca="1" si="24"/>
        <v>45289</v>
      </c>
      <c r="AM52" s="130">
        <v>12</v>
      </c>
      <c r="AN52" s="131">
        <v>250</v>
      </c>
    </row>
    <row r="53" spans="1:40" x14ac:dyDescent="0.2">
      <c r="A53" s="58"/>
      <c r="B53" s="43">
        <v>13</v>
      </c>
      <c r="C53" s="44">
        <f t="shared" ca="1" si="22"/>
        <v>45324</v>
      </c>
      <c r="D53" s="45">
        <f t="shared" ca="1" si="4"/>
        <v>54988.87999999999</v>
      </c>
      <c r="E53" s="46">
        <f t="shared" ca="1" si="2"/>
        <v>54139.139999999992</v>
      </c>
      <c r="F53" s="47">
        <f t="shared" ca="1" si="11"/>
        <v>849.74</v>
      </c>
      <c r="G53" s="47">
        <f t="shared" ca="1" si="12"/>
        <v>581.35</v>
      </c>
      <c r="H53" s="47">
        <f t="shared" ca="1" si="13"/>
        <v>72.17</v>
      </c>
      <c r="I53" s="47">
        <f t="shared" si="14"/>
        <v>350</v>
      </c>
      <c r="J53" s="47"/>
      <c r="K53" s="45">
        <f t="shared" ca="1" si="15"/>
        <v>1503.2600000000002</v>
      </c>
      <c r="L53" s="47">
        <f t="shared" si="5"/>
        <v>10</v>
      </c>
      <c r="M53" s="48">
        <f t="shared" ca="1" si="16"/>
        <v>1863.2600000000002</v>
      </c>
      <c r="N53" s="58"/>
      <c r="O53" s="20">
        <f t="shared" ca="1" si="6"/>
        <v>0.85976459999999999</v>
      </c>
      <c r="P53" s="24">
        <f t="shared" ca="1" si="7"/>
        <v>1</v>
      </c>
      <c r="Q53" s="22">
        <f t="shared" ca="1" si="3"/>
        <v>396</v>
      </c>
      <c r="S53" s="25">
        <f t="shared" ca="1" si="23"/>
        <v>581.35178532602072</v>
      </c>
      <c r="T53" s="26">
        <f t="shared" ca="1" si="17"/>
        <v>0</v>
      </c>
      <c r="W53" s="27">
        <f t="shared" ca="1" si="9"/>
        <v>72.17</v>
      </c>
      <c r="X53" s="27"/>
      <c r="Y53" s="14">
        <f t="shared" si="10"/>
        <v>350</v>
      </c>
      <c r="AA53" s="23">
        <f t="shared" ca="1" si="18"/>
        <v>45324</v>
      </c>
      <c r="AB53" s="23">
        <f t="shared" ca="1" si="19"/>
        <v>45324</v>
      </c>
      <c r="AC53" s="23">
        <f t="shared" ca="1" si="20"/>
        <v>45324</v>
      </c>
      <c r="AE53" s="16">
        <v>13</v>
      </c>
      <c r="AF53" s="23">
        <f t="shared" ca="1" si="21"/>
        <v>45324</v>
      </c>
      <c r="AG53" s="23">
        <f t="shared" ca="1" si="24"/>
        <v>45319</v>
      </c>
    </row>
    <row r="54" spans="1:40" x14ac:dyDescent="0.2">
      <c r="A54" s="58"/>
      <c r="B54" s="43">
        <v>14</v>
      </c>
      <c r="C54" s="44">
        <f t="shared" ca="1" si="22"/>
        <v>45353</v>
      </c>
      <c r="D54" s="45">
        <f t="shared" ca="1" si="4"/>
        <v>54139.139999999992</v>
      </c>
      <c r="E54" s="46">
        <f t="shared" ca="1" si="2"/>
        <v>53237.599999999991</v>
      </c>
      <c r="F54" s="47">
        <f t="shared" ca="1" si="11"/>
        <v>901.54</v>
      </c>
      <c r="G54" s="47">
        <f t="shared" ca="1" si="12"/>
        <v>535.26</v>
      </c>
      <c r="H54" s="47">
        <f t="shared" ca="1" si="13"/>
        <v>66.459999999999994</v>
      </c>
      <c r="I54" s="47">
        <f t="shared" si="14"/>
        <v>350</v>
      </c>
      <c r="J54" s="47"/>
      <c r="K54" s="45">
        <f t="shared" ca="1" si="15"/>
        <v>1503.26</v>
      </c>
      <c r="L54" s="47">
        <f t="shared" si="5"/>
        <v>10</v>
      </c>
      <c r="M54" s="48">
        <f t="shared" ca="1" si="16"/>
        <v>1863.26</v>
      </c>
      <c r="N54" s="58"/>
      <c r="O54" s="20">
        <f t="shared" ca="1" si="6"/>
        <v>0.85030360999999999</v>
      </c>
      <c r="P54" s="24">
        <f t="shared" ca="1" si="7"/>
        <v>1</v>
      </c>
      <c r="Q54" s="22">
        <f t="shared" ca="1" si="3"/>
        <v>425</v>
      </c>
      <c r="S54" s="25">
        <f t="shared" ca="1" si="23"/>
        <v>535.25928530298893</v>
      </c>
      <c r="T54" s="26">
        <f t="shared" ca="1" si="17"/>
        <v>0</v>
      </c>
      <c r="W54" s="27">
        <f t="shared" ca="1" si="9"/>
        <v>66.459999999999994</v>
      </c>
      <c r="X54" s="27"/>
      <c r="Y54" s="14">
        <f t="shared" si="10"/>
        <v>350</v>
      </c>
      <c r="AA54" s="23">
        <f t="shared" ca="1" si="18"/>
        <v>45353</v>
      </c>
      <c r="AB54" s="23">
        <f t="shared" ca="1" si="19"/>
        <v>45353</v>
      </c>
      <c r="AC54" s="23">
        <f t="shared" ca="1" si="20"/>
        <v>45353</v>
      </c>
      <c r="AE54" s="16">
        <v>14</v>
      </c>
      <c r="AF54" s="23">
        <f t="shared" ca="1" si="21"/>
        <v>45353</v>
      </c>
      <c r="AG54" s="23">
        <f t="shared" ca="1" si="24"/>
        <v>45349</v>
      </c>
    </row>
    <row r="55" spans="1:40" x14ac:dyDescent="0.2">
      <c r="A55" s="58"/>
      <c r="B55" s="43">
        <v>15</v>
      </c>
      <c r="C55" s="44">
        <f t="shared" ca="1" si="22"/>
        <v>45384</v>
      </c>
      <c r="D55" s="45">
        <f t="shared" ca="1" si="4"/>
        <v>53237.599999999991</v>
      </c>
      <c r="E55" s="46">
        <f t="shared" ca="1" si="2"/>
        <v>52367.049999999988</v>
      </c>
      <c r="F55" s="47">
        <f t="shared" ca="1" si="11"/>
        <v>870.55</v>
      </c>
      <c r="G55" s="47">
        <f t="shared" ca="1" si="12"/>
        <v>562.84</v>
      </c>
      <c r="H55" s="47">
        <f t="shared" ca="1" si="13"/>
        <v>69.87</v>
      </c>
      <c r="I55" s="47">
        <f t="shared" si="14"/>
        <v>350</v>
      </c>
      <c r="J55" s="47"/>
      <c r="K55" s="45">
        <f t="shared" ca="1" si="15"/>
        <v>1503.2599999999998</v>
      </c>
      <c r="L55" s="47">
        <f t="shared" si="5"/>
        <v>10</v>
      </c>
      <c r="M55" s="48">
        <f t="shared" ca="1" si="16"/>
        <v>1863.2599999999998</v>
      </c>
      <c r="N55" s="58"/>
      <c r="O55" s="20">
        <f t="shared" ca="1" si="6"/>
        <v>0.84030523000000001</v>
      </c>
      <c r="P55" s="24">
        <f t="shared" ca="1" si="7"/>
        <v>1</v>
      </c>
      <c r="Q55" s="22">
        <f t="shared" ca="1" si="3"/>
        <v>456</v>
      </c>
      <c r="S55" s="25">
        <f t="shared" ca="1" si="23"/>
        <v>562.83695551668927</v>
      </c>
      <c r="T55" s="26">
        <f t="shared" ca="1" si="17"/>
        <v>0</v>
      </c>
      <c r="W55" s="27">
        <f t="shared" ca="1" si="9"/>
        <v>69.87</v>
      </c>
      <c r="X55" s="27"/>
      <c r="Y55" s="14">
        <f t="shared" si="10"/>
        <v>350</v>
      </c>
      <c r="AA55" s="23">
        <f t="shared" ca="1" si="18"/>
        <v>45384</v>
      </c>
      <c r="AB55" s="23">
        <f t="shared" ca="1" si="19"/>
        <v>45384</v>
      </c>
      <c r="AC55" s="23">
        <f t="shared" ca="1" si="20"/>
        <v>45384</v>
      </c>
      <c r="AE55" s="16">
        <v>15</v>
      </c>
      <c r="AF55" s="23">
        <f t="shared" ca="1" si="21"/>
        <v>45384</v>
      </c>
      <c r="AG55" s="23">
        <f t="shared" ca="1" si="24"/>
        <v>45379</v>
      </c>
    </row>
    <row r="56" spans="1:40" x14ac:dyDescent="0.2">
      <c r="A56" s="58"/>
      <c r="B56" s="43">
        <v>16</v>
      </c>
      <c r="C56" s="44">
        <f t="shared" ca="1" si="22"/>
        <v>45414</v>
      </c>
      <c r="D56" s="45">
        <f t="shared" ca="1" si="4"/>
        <v>52367.049999999988</v>
      </c>
      <c r="E56" s="46">
        <f t="shared" ca="1" si="2"/>
        <v>51465.979999999989</v>
      </c>
      <c r="F56" s="47">
        <f t="shared" ca="1" si="11"/>
        <v>901.07</v>
      </c>
      <c r="G56" s="47">
        <f t="shared" ca="1" si="12"/>
        <v>535.67999999999995</v>
      </c>
      <c r="H56" s="47">
        <f t="shared" ca="1" si="13"/>
        <v>66.510000000000005</v>
      </c>
      <c r="I56" s="47">
        <f t="shared" si="14"/>
        <v>350</v>
      </c>
      <c r="J56" s="47"/>
      <c r="K56" s="45">
        <f t="shared" ca="1" si="15"/>
        <v>1503.26</v>
      </c>
      <c r="L56" s="47">
        <f t="shared" si="5"/>
        <v>10</v>
      </c>
      <c r="M56" s="48">
        <f t="shared" ca="1" si="16"/>
        <v>1863.26</v>
      </c>
      <c r="N56" s="58"/>
      <c r="O56" s="20">
        <f t="shared" ca="1" si="6"/>
        <v>0.83074133999999999</v>
      </c>
      <c r="P56" s="24">
        <f t="shared" ca="1" si="7"/>
        <v>1</v>
      </c>
      <c r="Q56" s="22">
        <f t="shared" ca="1" si="3"/>
        <v>486</v>
      </c>
      <c r="S56" s="25">
        <f t="shared" ca="1" si="23"/>
        <v>535.68318349405206</v>
      </c>
      <c r="T56" s="26">
        <f t="shared" ca="1" si="17"/>
        <v>0</v>
      </c>
      <c r="W56" s="27">
        <f t="shared" ca="1" si="9"/>
        <v>66.510000000000005</v>
      </c>
      <c r="X56" s="27"/>
      <c r="Y56" s="14">
        <f t="shared" si="10"/>
        <v>350</v>
      </c>
      <c r="AA56" s="23">
        <f t="shared" ca="1" si="18"/>
        <v>45414</v>
      </c>
      <c r="AB56" s="23">
        <f t="shared" ca="1" si="19"/>
        <v>45414</v>
      </c>
      <c r="AC56" s="23">
        <f t="shared" ca="1" si="20"/>
        <v>45414</v>
      </c>
      <c r="AE56" s="16">
        <v>16</v>
      </c>
      <c r="AF56" s="23">
        <f t="shared" ca="1" si="21"/>
        <v>45414</v>
      </c>
      <c r="AG56" s="23">
        <f t="shared" ca="1" si="24"/>
        <v>45409</v>
      </c>
    </row>
    <row r="57" spans="1:40" x14ac:dyDescent="0.2">
      <c r="A57" s="58"/>
      <c r="B57" s="43">
        <v>17</v>
      </c>
      <c r="C57" s="44">
        <f t="shared" ca="1" si="22"/>
        <v>45445</v>
      </c>
      <c r="D57" s="45">
        <f t="shared" ca="1" si="4"/>
        <v>51465.979999999989</v>
      </c>
      <c r="E57" s="46">
        <f t="shared" ca="1" si="2"/>
        <v>50574.369999999988</v>
      </c>
      <c r="F57" s="47">
        <f t="shared" ca="1" si="11"/>
        <v>891.61</v>
      </c>
      <c r="G57" s="47">
        <f t="shared" ca="1" si="12"/>
        <v>544.11</v>
      </c>
      <c r="H57" s="47">
        <f t="shared" ca="1" si="13"/>
        <v>67.540000000000006</v>
      </c>
      <c r="I57" s="47">
        <f t="shared" si="14"/>
        <v>350</v>
      </c>
      <c r="J57" s="47"/>
      <c r="K57" s="45">
        <f t="shared" ca="1" si="15"/>
        <v>1503.26</v>
      </c>
      <c r="L57" s="47">
        <f t="shared" si="5"/>
        <v>10</v>
      </c>
      <c r="M57" s="48">
        <f t="shared" ca="1" si="16"/>
        <v>1863.26</v>
      </c>
      <c r="N57" s="58"/>
      <c r="O57" s="20">
        <f t="shared" ca="1" si="6"/>
        <v>0.82097299000000001</v>
      </c>
      <c r="P57" s="24">
        <f t="shared" ca="1" si="7"/>
        <v>1</v>
      </c>
      <c r="Q57" s="22">
        <f t="shared" ca="1" si="3"/>
        <v>517</v>
      </c>
      <c r="S57" s="25">
        <f t="shared" ca="1" si="23"/>
        <v>544.10708777035063</v>
      </c>
      <c r="T57" s="26">
        <f t="shared" ca="1" si="17"/>
        <v>0</v>
      </c>
      <c r="W57" s="27">
        <f t="shared" ca="1" si="9"/>
        <v>67.540000000000006</v>
      </c>
      <c r="X57" s="27"/>
      <c r="Y57" s="14">
        <f t="shared" si="10"/>
        <v>350</v>
      </c>
      <c r="AA57" s="23">
        <f t="shared" ca="1" si="18"/>
        <v>45445</v>
      </c>
      <c r="AB57" s="23">
        <f t="shared" ca="1" si="19"/>
        <v>45445</v>
      </c>
      <c r="AC57" s="23">
        <f t="shared" ca="1" si="20"/>
        <v>45445</v>
      </c>
      <c r="AE57" s="16">
        <v>17</v>
      </c>
      <c r="AF57" s="23">
        <f t="shared" ca="1" si="21"/>
        <v>45445</v>
      </c>
      <c r="AG57" s="23">
        <f t="shared" ca="1" si="24"/>
        <v>45439</v>
      </c>
    </row>
    <row r="58" spans="1:40" x14ac:dyDescent="0.2">
      <c r="A58" s="58"/>
      <c r="B58" s="43">
        <v>18</v>
      </c>
      <c r="C58" s="44">
        <f t="shared" ca="1" si="22"/>
        <v>45475</v>
      </c>
      <c r="D58" s="45">
        <f t="shared" ca="1" si="4"/>
        <v>50574.369999999988</v>
      </c>
      <c r="E58" s="46">
        <f t="shared" ca="1" si="2"/>
        <v>49652.689999999988</v>
      </c>
      <c r="F58" s="47">
        <f t="shared" ca="1" si="11"/>
        <v>921.68</v>
      </c>
      <c r="G58" s="47">
        <f t="shared" ca="1" si="12"/>
        <v>517.35</v>
      </c>
      <c r="H58" s="47">
        <f t="shared" ca="1" si="13"/>
        <v>64.23</v>
      </c>
      <c r="I58" s="47">
        <f t="shared" si="14"/>
        <v>350</v>
      </c>
      <c r="J58" s="47"/>
      <c r="K58" s="45">
        <f t="shared" ca="1" si="15"/>
        <v>1503.26</v>
      </c>
      <c r="L58" s="47">
        <f t="shared" si="5"/>
        <v>10</v>
      </c>
      <c r="M58" s="48">
        <f t="shared" ca="1" si="16"/>
        <v>1863.26</v>
      </c>
      <c r="N58" s="58"/>
      <c r="O58" s="20">
        <f t="shared" ca="1" si="6"/>
        <v>0.81162911999999998</v>
      </c>
      <c r="P58" s="24">
        <f t="shared" ca="1" si="7"/>
        <v>1</v>
      </c>
      <c r="Q58" s="22">
        <f t="shared" ca="1" si="3"/>
        <v>547</v>
      </c>
      <c r="S58" s="25">
        <f t="shared" ca="1" si="23"/>
        <v>517.3451535804686</v>
      </c>
      <c r="T58" s="26">
        <f t="shared" ca="1" si="17"/>
        <v>0</v>
      </c>
      <c r="W58" s="27">
        <f t="shared" ca="1" si="9"/>
        <v>64.23</v>
      </c>
      <c r="X58" s="27"/>
      <c r="Y58" s="14">
        <f t="shared" si="10"/>
        <v>350</v>
      </c>
      <c r="AA58" s="23">
        <f t="shared" ca="1" si="18"/>
        <v>45475</v>
      </c>
      <c r="AB58" s="23">
        <f t="shared" ca="1" si="19"/>
        <v>45475</v>
      </c>
      <c r="AC58" s="23">
        <f t="shared" ca="1" si="20"/>
        <v>45475</v>
      </c>
      <c r="AE58" s="16">
        <v>18</v>
      </c>
      <c r="AF58" s="23">
        <f t="shared" ca="1" si="21"/>
        <v>45475</v>
      </c>
      <c r="AG58" s="23">
        <f t="shared" ca="1" si="24"/>
        <v>45469</v>
      </c>
    </row>
    <row r="59" spans="1:40" x14ac:dyDescent="0.2">
      <c r="A59" s="58"/>
      <c r="B59" s="43">
        <v>19</v>
      </c>
      <c r="C59" s="44">
        <f t="shared" ca="1" si="22"/>
        <v>45506</v>
      </c>
      <c r="D59" s="45">
        <f t="shared" ca="1" si="4"/>
        <v>49652.689999999988</v>
      </c>
      <c r="E59" s="46">
        <f t="shared" ca="1" si="2"/>
        <v>48739.529999999984</v>
      </c>
      <c r="F59" s="47">
        <f t="shared" ca="1" si="11"/>
        <v>913.16</v>
      </c>
      <c r="G59" s="47">
        <f t="shared" ca="1" si="12"/>
        <v>524.94000000000005</v>
      </c>
      <c r="H59" s="47">
        <f t="shared" ca="1" si="13"/>
        <v>65.16</v>
      </c>
      <c r="I59" s="47">
        <f t="shared" si="14"/>
        <v>350</v>
      </c>
      <c r="J59" s="47"/>
      <c r="K59" s="45">
        <f t="shared" ca="1" si="15"/>
        <v>1503.26</v>
      </c>
      <c r="L59" s="47">
        <f t="shared" si="5"/>
        <v>10</v>
      </c>
      <c r="M59" s="48">
        <f t="shared" ca="1" si="16"/>
        <v>1863.26</v>
      </c>
      <c r="N59" s="58"/>
      <c r="O59" s="20">
        <f t="shared" ca="1" si="6"/>
        <v>0.80208550999999995</v>
      </c>
      <c r="P59" s="24">
        <f t="shared" ca="1" si="7"/>
        <v>1</v>
      </c>
      <c r="Q59" s="22">
        <f t="shared" ca="1" si="3"/>
        <v>578</v>
      </c>
      <c r="S59" s="25">
        <f t="shared" ca="1" si="23"/>
        <v>524.93667770173636</v>
      </c>
      <c r="T59" s="26">
        <f t="shared" ca="1" si="17"/>
        <v>0</v>
      </c>
      <c r="W59" s="27">
        <f t="shared" ca="1" si="9"/>
        <v>65.16</v>
      </c>
      <c r="X59" s="27"/>
      <c r="Y59" s="14">
        <f t="shared" si="10"/>
        <v>350</v>
      </c>
      <c r="AA59" s="23">
        <f t="shared" ca="1" si="18"/>
        <v>45506</v>
      </c>
      <c r="AB59" s="23">
        <f t="shared" ca="1" si="19"/>
        <v>45506</v>
      </c>
      <c r="AC59" s="23">
        <f t="shared" ca="1" si="20"/>
        <v>45506</v>
      </c>
      <c r="AE59" s="16">
        <v>19</v>
      </c>
      <c r="AF59" s="23">
        <f t="shared" ca="1" si="21"/>
        <v>45506</v>
      </c>
      <c r="AG59" s="23">
        <f t="shared" ca="1" si="24"/>
        <v>45499</v>
      </c>
    </row>
    <row r="60" spans="1:40" x14ac:dyDescent="0.2">
      <c r="A60" s="58"/>
      <c r="B60" s="43">
        <v>20</v>
      </c>
      <c r="C60" s="44">
        <f t="shared" ca="1" si="22"/>
        <v>45537</v>
      </c>
      <c r="D60" s="45">
        <f t="shared" ca="1" si="4"/>
        <v>48739.529999999984</v>
      </c>
      <c r="E60" s="46">
        <f t="shared" ca="1" si="2"/>
        <v>47815.509999999987</v>
      </c>
      <c r="F60" s="47">
        <f t="shared" ca="1" si="11"/>
        <v>924.02</v>
      </c>
      <c r="G60" s="47">
        <f t="shared" ca="1" si="12"/>
        <v>515.28</v>
      </c>
      <c r="H60" s="47">
        <f t="shared" ca="1" si="13"/>
        <v>63.96</v>
      </c>
      <c r="I60" s="47">
        <f t="shared" si="14"/>
        <v>350</v>
      </c>
      <c r="J60" s="47"/>
      <c r="K60" s="45">
        <f t="shared" ca="1" si="15"/>
        <v>1503.26</v>
      </c>
      <c r="L60" s="47">
        <f t="shared" si="5"/>
        <v>10</v>
      </c>
      <c r="M60" s="48">
        <f t="shared" ca="1" si="16"/>
        <v>1863.26</v>
      </c>
      <c r="N60" s="58"/>
      <c r="O60" s="20">
        <f t="shared" ca="1" si="6"/>
        <v>0.79265410999999997</v>
      </c>
      <c r="P60" s="24">
        <f t="shared" ca="1" si="7"/>
        <v>1</v>
      </c>
      <c r="Q60" s="22">
        <f t="shared" ca="1" si="3"/>
        <v>609</v>
      </c>
      <c r="S60" s="25">
        <f t="shared" ca="1" si="23"/>
        <v>515.28259498013313</v>
      </c>
      <c r="T60" s="26">
        <f t="shared" ca="1" si="17"/>
        <v>0</v>
      </c>
      <c r="W60" s="27">
        <f t="shared" ca="1" si="9"/>
        <v>63.96</v>
      </c>
      <c r="X60" s="27"/>
      <c r="Y60" s="14">
        <f t="shared" si="10"/>
        <v>350</v>
      </c>
      <c r="AA60" s="23">
        <f t="shared" ca="1" si="18"/>
        <v>45537</v>
      </c>
      <c r="AB60" s="23">
        <f t="shared" ca="1" si="19"/>
        <v>45537</v>
      </c>
      <c r="AC60" s="23">
        <f t="shared" ca="1" si="20"/>
        <v>45537</v>
      </c>
      <c r="AE60" s="16">
        <v>20</v>
      </c>
      <c r="AF60" s="23">
        <f t="shared" ca="1" si="21"/>
        <v>45537</v>
      </c>
      <c r="AG60" s="23">
        <f t="shared" ca="1" si="24"/>
        <v>45529</v>
      </c>
    </row>
    <row r="61" spans="1:40" x14ac:dyDescent="0.2">
      <c r="A61" s="58"/>
      <c r="B61" s="43">
        <v>21</v>
      </c>
      <c r="C61" s="44">
        <f t="shared" ca="1" si="22"/>
        <v>45567</v>
      </c>
      <c r="D61" s="45">
        <f t="shared" ca="1" si="4"/>
        <v>47815.509999999987</v>
      </c>
      <c r="E61" s="46">
        <f t="shared" ca="1" si="2"/>
        <v>46862.099999999984</v>
      </c>
      <c r="F61" s="47">
        <f t="shared" ca="1" si="11"/>
        <v>953.41</v>
      </c>
      <c r="G61" s="47">
        <f t="shared" ca="1" si="12"/>
        <v>489.12</v>
      </c>
      <c r="H61" s="47">
        <f t="shared" ca="1" si="13"/>
        <v>60.73</v>
      </c>
      <c r="I61" s="47">
        <f t="shared" si="14"/>
        <v>350</v>
      </c>
      <c r="J61" s="47"/>
      <c r="K61" s="45">
        <f t="shared" ca="1" si="15"/>
        <v>1503.26</v>
      </c>
      <c r="L61" s="47">
        <f t="shared" si="5"/>
        <v>10</v>
      </c>
      <c r="M61" s="48">
        <f t="shared" ca="1" si="16"/>
        <v>1863.26</v>
      </c>
      <c r="N61" s="58"/>
      <c r="O61" s="20">
        <f t="shared" ca="1" si="6"/>
        <v>0.78363254999999998</v>
      </c>
      <c r="P61" s="24">
        <f t="shared" ca="1" si="7"/>
        <v>1</v>
      </c>
      <c r="Q61" s="22">
        <f t="shared" ca="1" si="3"/>
        <v>639</v>
      </c>
      <c r="S61" s="25">
        <f t="shared" ca="1" si="23"/>
        <v>489.12368783789958</v>
      </c>
      <c r="T61" s="26">
        <f t="shared" ca="1" si="17"/>
        <v>0</v>
      </c>
      <c r="W61" s="27">
        <f t="shared" ca="1" si="9"/>
        <v>60.73</v>
      </c>
      <c r="X61" s="27"/>
      <c r="Y61" s="14">
        <f t="shared" si="10"/>
        <v>350</v>
      </c>
      <c r="AA61" s="23">
        <f t="shared" ca="1" si="18"/>
        <v>45567</v>
      </c>
      <c r="AB61" s="23">
        <f t="shared" ca="1" si="19"/>
        <v>45567</v>
      </c>
      <c r="AC61" s="23">
        <f t="shared" ca="1" si="20"/>
        <v>45567</v>
      </c>
      <c r="AE61" s="16">
        <v>21</v>
      </c>
      <c r="AF61" s="23">
        <f t="shared" ca="1" si="21"/>
        <v>45567</v>
      </c>
      <c r="AG61" s="23">
        <f t="shared" ca="1" si="24"/>
        <v>45559</v>
      </c>
    </row>
    <row r="62" spans="1:40" x14ac:dyDescent="0.2">
      <c r="A62" s="58"/>
      <c r="B62" s="43">
        <v>22</v>
      </c>
      <c r="C62" s="44">
        <f t="shared" ca="1" si="22"/>
        <v>45598</v>
      </c>
      <c r="D62" s="45">
        <f t="shared" ca="1" si="4"/>
        <v>46862.099999999984</v>
      </c>
      <c r="E62" s="46">
        <f t="shared" ca="1" si="2"/>
        <v>45915.769999999982</v>
      </c>
      <c r="F62" s="47">
        <f t="shared" ca="1" si="11"/>
        <v>946.32999999999993</v>
      </c>
      <c r="G62" s="47">
        <f t="shared" ca="1" si="12"/>
        <v>495.43</v>
      </c>
      <c r="H62" s="47">
        <f t="shared" ca="1" si="13"/>
        <v>61.5</v>
      </c>
      <c r="I62" s="47">
        <f t="shared" si="14"/>
        <v>350</v>
      </c>
      <c r="J62" s="47"/>
      <c r="K62" s="45">
        <f t="shared" ca="1" si="15"/>
        <v>1503.26</v>
      </c>
      <c r="L62" s="47">
        <f t="shared" si="5"/>
        <v>10</v>
      </c>
      <c r="M62" s="48">
        <f t="shared" ca="1" si="16"/>
        <v>1863.26</v>
      </c>
      <c r="N62" s="58"/>
      <c r="O62" s="20">
        <f t="shared" ca="1" si="6"/>
        <v>0.77441813999999998</v>
      </c>
      <c r="P62" s="24">
        <f t="shared" ca="1" si="7"/>
        <v>1</v>
      </c>
      <c r="Q62" s="22">
        <f t="shared" ca="1" si="3"/>
        <v>670</v>
      </c>
      <c r="S62" s="25">
        <f t="shared" ca="1" si="23"/>
        <v>495.43408593021923</v>
      </c>
      <c r="T62" s="26">
        <f t="shared" ca="1" si="17"/>
        <v>0</v>
      </c>
      <c r="W62" s="27">
        <f t="shared" ca="1" si="9"/>
        <v>61.5</v>
      </c>
      <c r="X62" s="27"/>
      <c r="Y62" s="14">
        <f t="shared" si="10"/>
        <v>350</v>
      </c>
      <c r="AA62" s="23">
        <f t="shared" ca="1" si="18"/>
        <v>45598</v>
      </c>
      <c r="AB62" s="23">
        <f t="shared" ca="1" si="19"/>
        <v>45598</v>
      </c>
      <c r="AC62" s="23">
        <f t="shared" ca="1" si="20"/>
        <v>45598</v>
      </c>
      <c r="AE62" s="16">
        <v>22</v>
      </c>
      <c r="AF62" s="23">
        <f t="shared" ca="1" si="21"/>
        <v>45598</v>
      </c>
      <c r="AG62" s="23">
        <f t="shared" ca="1" si="24"/>
        <v>45589</v>
      </c>
    </row>
    <row r="63" spans="1:40" x14ac:dyDescent="0.2">
      <c r="A63" s="58"/>
      <c r="B63" s="43">
        <v>23</v>
      </c>
      <c r="C63" s="44">
        <f t="shared" ca="1" si="22"/>
        <v>45628</v>
      </c>
      <c r="D63" s="45">
        <f t="shared" ca="1" si="4"/>
        <v>45915.769999999982</v>
      </c>
      <c r="E63" s="46">
        <f t="shared" ca="1" si="2"/>
        <v>44940.50999999998</v>
      </c>
      <c r="F63" s="47">
        <f t="shared" ca="1" si="11"/>
        <v>975.26</v>
      </c>
      <c r="G63" s="47">
        <f t="shared" ca="1" si="12"/>
        <v>469.69</v>
      </c>
      <c r="H63" s="47">
        <f t="shared" ca="1" si="13"/>
        <v>58.31</v>
      </c>
      <c r="I63" s="47">
        <f t="shared" si="14"/>
        <v>350</v>
      </c>
      <c r="J63" s="47"/>
      <c r="K63" s="45">
        <f t="shared" ca="1" si="15"/>
        <v>1503.26</v>
      </c>
      <c r="L63" s="47">
        <f t="shared" si="5"/>
        <v>10</v>
      </c>
      <c r="M63" s="48">
        <f t="shared" ca="1" si="16"/>
        <v>1863.26</v>
      </c>
      <c r="N63" s="58"/>
      <c r="O63" s="20">
        <f t="shared" ca="1" si="6"/>
        <v>0.76560413000000005</v>
      </c>
      <c r="P63" s="24">
        <f t="shared" ca="1" si="7"/>
        <v>1</v>
      </c>
      <c r="Q63" s="22">
        <f t="shared" ca="1" si="3"/>
        <v>700</v>
      </c>
      <c r="S63" s="25">
        <f t="shared" ca="1" si="23"/>
        <v>469.69049900998215</v>
      </c>
      <c r="T63" s="26">
        <f t="shared" ca="1" si="17"/>
        <v>0</v>
      </c>
      <c r="W63" s="27">
        <f t="shared" ca="1" si="9"/>
        <v>58.31</v>
      </c>
      <c r="X63" s="27"/>
      <c r="Y63" s="14">
        <f t="shared" si="10"/>
        <v>350</v>
      </c>
      <c r="AA63" s="23">
        <f t="shared" ca="1" si="18"/>
        <v>45628</v>
      </c>
      <c r="AB63" s="23">
        <f t="shared" ca="1" si="19"/>
        <v>45628</v>
      </c>
      <c r="AC63" s="23">
        <f t="shared" ca="1" si="20"/>
        <v>45628</v>
      </c>
      <c r="AE63" s="16">
        <v>23</v>
      </c>
      <c r="AF63" s="23">
        <f t="shared" ca="1" si="21"/>
        <v>45628</v>
      </c>
      <c r="AG63" s="23">
        <f t="shared" ca="1" si="24"/>
        <v>45619</v>
      </c>
    </row>
    <row r="64" spans="1:40" x14ac:dyDescent="0.2">
      <c r="A64" s="58"/>
      <c r="B64" s="43">
        <v>24</v>
      </c>
      <c r="C64" s="44">
        <f t="shared" ca="1" si="22"/>
        <v>45659</v>
      </c>
      <c r="D64" s="45">
        <f t="shared" ca="1" si="4"/>
        <v>44940.50999999998</v>
      </c>
      <c r="E64" s="46">
        <f t="shared" ca="1" si="2"/>
        <v>43971.349999999977</v>
      </c>
      <c r="F64" s="47">
        <f t="shared" ca="1" si="11"/>
        <v>969.15999999999985</v>
      </c>
      <c r="G64" s="47">
        <f t="shared" ca="1" si="12"/>
        <v>475.12</v>
      </c>
      <c r="H64" s="47">
        <f t="shared" ca="1" si="13"/>
        <v>58.98</v>
      </c>
      <c r="I64" s="47">
        <f t="shared" si="14"/>
        <v>350</v>
      </c>
      <c r="J64" s="47"/>
      <c r="K64" s="45">
        <f t="shared" ca="1" si="15"/>
        <v>1503.2599999999998</v>
      </c>
      <c r="L64" s="47">
        <f t="shared" si="5"/>
        <v>10</v>
      </c>
      <c r="M64" s="48">
        <f t="shared" ca="1" si="16"/>
        <v>1863.2599999999998</v>
      </c>
      <c r="N64" s="58"/>
      <c r="O64" s="20">
        <f t="shared" ca="1" si="6"/>
        <v>0.75660170999999998</v>
      </c>
      <c r="P64" s="24">
        <f t="shared" ca="1" si="7"/>
        <v>1</v>
      </c>
      <c r="Q64" s="22">
        <f t="shared" ca="1" si="3"/>
        <v>731</v>
      </c>
      <c r="S64" s="25">
        <f t="shared" ca="1" si="23"/>
        <v>475.11870985482665</v>
      </c>
      <c r="T64" s="26">
        <f t="shared" ca="1" si="17"/>
        <v>0</v>
      </c>
      <c r="W64" s="27">
        <f t="shared" ca="1" si="9"/>
        <v>58.98</v>
      </c>
      <c r="X64" s="27"/>
      <c r="Y64" s="14">
        <f t="shared" si="10"/>
        <v>350</v>
      </c>
      <c r="AA64" s="23">
        <f t="shared" ca="1" si="18"/>
        <v>45659</v>
      </c>
      <c r="AB64" s="23">
        <f t="shared" ca="1" si="19"/>
        <v>45659</v>
      </c>
      <c r="AC64" s="23">
        <f t="shared" ca="1" si="20"/>
        <v>45659</v>
      </c>
      <c r="AE64" s="16">
        <v>24</v>
      </c>
      <c r="AF64" s="23">
        <f t="shared" ca="1" si="21"/>
        <v>45659</v>
      </c>
      <c r="AG64" s="23">
        <f t="shared" ca="1" si="24"/>
        <v>45649</v>
      </c>
    </row>
    <row r="65" spans="1:33" x14ac:dyDescent="0.2">
      <c r="A65" s="58"/>
      <c r="B65" s="43">
        <v>25</v>
      </c>
      <c r="C65" s="44">
        <f t="shared" ca="1" si="22"/>
        <v>45690</v>
      </c>
      <c r="D65" s="45">
        <f t="shared" ca="1" si="4"/>
        <v>43971.349999999977</v>
      </c>
      <c r="E65" s="46">
        <f t="shared" ca="1" si="2"/>
        <v>42990.669999999976</v>
      </c>
      <c r="F65" s="47">
        <f t="shared" ca="1" si="11"/>
        <v>980.67999999999984</v>
      </c>
      <c r="G65" s="47">
        <f t="shared" ca="1" si="12"/>
        <v>464.87</v>
      </c>
      <c r="H65" s="47">
        <f t="shared" ca="1" si="13"/>
        <v>57.71</v>
      </c>
      <c r="I65" s="47">
        <f t="shared" si="14"/>
        <v>350</v>
      </c>
      <c r="J65" s="47"/>
      <c r="K65" s="45">
        <f t="shared" ca="1" si="15"/>
        <v>1503.2599999999998</v>
      </c>
      <c r="L65" s="47">
        <f t="shared" si="5"/>
        <v>10</v>
      </c>
      <c r="M65" s="48">
        <f t="shared" ca="1" si="16"/>
        <v>1863.2599999999998</v>
      </c>
      <c r="N65" s="58"/>
      <c r="O65" s="20">
        <f t="shared" ca="1" si="6"/>
        <v>0.74770513000000005</v>
      </c>
      <c r="P65" s="24">
        <f t="shared" ca="1" si="7"/>
        <v>1</v>
      </c>
      <c r="Q65" s="22">
        <f t="shared" ca="1" si="3"/>
        <v>762</v>
      </c>
      <c r="S65" s="25">
        <f t="shared" ca="1" si="23"/>
        <v>464.87258561540648</v>
      </c>
      <c r="T65" s="26">
        <f t="shared" ca="1" si="17"/>
        <v>0</v>
      </c>
      <c r="W65" s="27">
        <f t="shared" ca="1" si="9"/>
        <v>57.71</v>
      </c>
      <c r="X65" s="27"/>
      <c r="Y65" s="14">
        <f t="shared" si="10"/>
        <v>350</v>
      </c>
      <c r="AA65" s="23">
        <f t="shared" ca="1" si="18"/>
        <v>45690</v>
      </c>
      <c r="AB65" s="23">
        <f t="shared" ca="1" si="19"/>
        <v>45690</v>
      </c>
      <c r="AC65" s="23">
        <f t="shared" ca="1" si="20"/>
        <v>45690</v>
      </c>
      <c r="AE65" s="16">
        <v>25</v>
      </c>
      <c r="AF65" s="23">
        <f t="shared" ca="1" si="21"/>
        <v>45690</v>
      </c>
      <c r="AG65" s="23">
        <f t="shared" ca="1" si="24"/>
        <v>45679</v>
      </c>
    </row>
    <row r="66" spans="1:33" x14ac:dyDescent="0.2">
      <c r="A66" s="58"/>
      <c r="B66" s="43">
        <v>26</v>
      </c>
      <c r="C66" s="44">
        <f t="shared" ca="1" si="22"/>
        <v>45718</v>
      </c>
      <c r="D66" s="45">
        <f t="shared" ca="1" si="4"/>
        <v>42990.669999999976</v>
      </c>
      <c r="E66" s="46">
        <f t="shared" ca="1" si="2"/>
        <v>41948.679999999978</v>
      </c>
      <c r="F66" s="47">
        <f t="shared" ca="1" si="11"/>
        <v>1041.99</v>
      </c>
      <c r="G66" s="47">
        <f t="shared" ca="1" si="12"/>
        <v>410.31</v>
      </c>
      <c r="H66" s="47">
        <f t="shared" ca="1" si="13"/>
        <v>50.96</v>
      </c>
      <c r="I66" s="47">
        <f t="shared" si="14"/>
        <v>350</v>
      </c>
      <c r="J66" s="47"/>
      <c r="K66" s="45">
        <f t="shared" ca="1" si="15"/>
        <v>1503.26</v>
      </c>
      <c r="L66" s="47">
        <f t="shared" si="5"/>
        <v>10</v>
      </c>
      <c r="M66" s="48">
        <f t="shared" ca="1" si="16"/>
        <v>1863.26</v>
      </c>
      <c r="N66" s="58"/>
      <c r="O66" s="20">
        <f t="shared" ca="1" si="6"/>
        <v>0.73975946999999997</v>
      </c>
      <c r="P66" s="24">
        <f t="shared" ca="1" si="7"/>
        <v>1</v>
      </c>
      <c r="Q66" s="22">
        <f t="shared" ca="1" si="3"/>
        <v>790</v>
      </c>
      <c r="S66" s="25">
        <f t="shared" ca="1" si="23"/>
        <v>410.31114989723778</v>
      </c>
      <c r="T66" s="26">
        <f t="shared" ca="1" si="17"/>
        <v>0</v>
      </c>
      <c r="W66" s="27">
        <f t="shared" ca="1" si="9"/>
        <v>50.96</v>
      </c>
      <c r="X66" s="27"/>
      <c r="Y66" s="14">
        <f t="shared" si="10"/>
        <v>350</v>
      </c>
      <c r="AA66" s="23">
        <f t="shared" ca="1" si="18"/>
        <v>45718</v>
      </c>
      <c r="AB66" s="23">
        <f t="shared" ca="1" si="19"/>
        <v>45718</v>
      </c>
      <c r="AC66" s="23">
        <f t="shared" ca="1" si="20"/>
        <v>45718</v>
      </c>
      <c r="AE66" s="16">
        <v>26</v>
      </c>
      <c r="AF66" s="23">
        <f t="shared" ca="1" si="21"/>
        <v>45718</v>
      </c>
      <c r="AG66" s="23">
        <f t="shared" ca="1" si="24"/>
        <v>45709</v>
      </c>
    </row>
    <row r="67" spans="1:33" x14ac:dyDescent="0.2">
      <c r="A67" s="58"/>
      <c r="B67" s="43">
        <v>27</v>
      </c>
      <c r="C67" s="44">
        <f t="shared" ca="1" si="22"/>
        <v>45749</v>
      </c>
      <c r="D67" s="45">
        <f t="shared" ca="1" si="4"/>
        <v>41948.679999999978</v>
      </c>
      <c r="E67" s="46">
        <f t="shared" ca="1" si="2"/>
        <v>40943.959999999977</v>
      </c>
      <c r="F67" s="47">
        <f t="shared" ca="1" si="11"/>
        <v>1004.72</v>
      </c>
      <c r="G67" s="47">
        <f t="shared" ca="1" si="12"/>
        <v>443.49</v>
      </c>
      <c r="H67" s="47">
        <f t="shared" ca="1" si="13"/>
        <v>55.05</v>
      </c>
      <c r="I67" s="47">
        <f t="shared" si="14"/>
        <v>350</v>
      </c>
      <c r="J67" s="47"/>
      <c r="K67" s="45">
        <f t="shared" ca="1" si="15"/>
        <v>1503.26</v>
      </c>
      <c r="L67" s="47">
        <f t="shared" si="5"/>
        <v>10</v>
      </c>
      <c r="M67" s="48">
        <f t="shared" ca="1" si="16"/>
        <v>1863.26</v>
      </c>
      <c r="N67" s="58"/>
      <c r="O67" s="20">
        <f t="shared" ca="1" si="6"/>
        <v>0.73106093999999999</v>
      </c>
      <c r="P67" s="24">
        <f t="shared" ca="1" si="7"/>
        <v>1</v>
      </c>
      <c r="Q67" s="22">
        <f t="shared" ca="1" si="3"/>
        <v>821</v>
      </c>
      <c r="S67" s="25">
        <f t="shared" ca="1" si="23"/>
        <v>443.4885746003543</v>
      </c>
      <c r="T67" s="26">
        <f t="shared" ca="1" si="17"/>
        <v>0</v>
      </c>
      <c r="W67" s="27">
        <f t="shared" ca="1" si="9"/>
        <v>55.05</v>
      </c>
      <c r="X67" s="27"/>
      <c r="Y67" s="14">
        <f t="shared" si="10"/>
        <v>350</v>
      </c>
      <c r="AA67" s="23">
        <f t="shared" ca="1" si="18"/>
        <v>45749</v>
      </c>
      <c r="AB67" s="23">
        <f t="shared" ca="1" si="19"/>
        <v>45749</v>
      </c>
      <c r="AC67" s="23">
        <f t="shared" ca="1" si="20"/>
        <v>45749</v>
      </c>
      <c r="AE67" s="16">
        <v>27</v>
      </c>
      <c r="AF67" s="23">
        <f t="shared" ca="1" si="21"/>
        <v>45749</v>
      </c>
      <c r="AG67" s="23">
        <f t="shared" ca="1" si="24"/>
        <v>45739</v>
      </c>
    </row>
    <row r="68" spans="1:33" x14ac:dyDescent="0.2">
      <c r="A68" s="58"/>
      <c r="B68" s="43">
        <v>28</v>
      </c>
      <c r="C68" s="44">
        <f t="shared" ca="1" si="22"/>
        <v>45779</v>
      </c>
      <c r="D68" s="45">
        <f t="shared" ca="1" si="4"/>
        <v>40943.959999999977</v>
      </c>
      <c r="E68" s="46">
        <f t="shared" ca="1" si="2"/>
        <v>39911.529999999977</v>
      </c>
      <c r="F68" s="47">
        <f t="shared" ca="1" si="11"/>
        <v>1032.43</v>
      </c>
      <c r="G68" s="47">
        <f t="shared" ca="1" si="12"/>
        <v>418.83</v>
      </c>
      <c r="H68" s="47">
        <f t="shared" ca="1" si="13"/>
        <v>52</v>
      </c>
      <c r="I68" s="47">
        <f t="shared" si="14"/>
        <v>350</v>
      </c>
      <c r="J68" s="47"/>
      <c r="K68" s="45">
        <f t="shared" ca="1" si="15"/>
        <v>1503.26</v>
      </c>
      <c r="L68" s="47">
        <f t="shared" si="5"/>
        <v>10</v>
      </c>
      <c r="M68" s="48">
        <f t="shared" ca="1" si="16"/>
        <v>1863.26</v>
      </c>
      <c r="N68" s="58"/>
      <c r="O68" s="20">
        <f t="shared" ca="1" si="6"/>
        <v>0.72274039999999995</v>
      </c>
      <c r="P68" s="24">
        <f t="shared" ca="1" si="7"/>
        <v>1</v>
      </c>
      <c r="Q68" s="22">
        <f t="shared" ca="1" si="3"/>
        <v>851</v>
      </c>
      <c r="S68" s="25">
        <f t="shared" ca="1" si="23"/>
        <v>418.83189596612988</v>
      </c>
      <c r="T68" s="26">
        <f t="shared" ca="1" si="17"/>
        <v>0</v>
      </c>
      <c r="W68" s="27">
        <f t="shared" ca="1" si="9"/>
        <v>52</v>
      </c>
      <c r="X68" s="27"/>
      <c r="Y68" s="14">
        <f t="shared" si="10"/>
        <v>350</v>
      </c>
      <c r="AA68" s="23">
        <f t="shared" ca="1" si="18"/>
        <v>45779</v>
      </c>
      <c r="AB68" s="23">
        <f t="shared" ca="1" si="19"/>
        <v>45779</v>
      </c>
      <c r="AC68" s="23">
        <f t="shared" ca="1" si="20"/>
        <v>45779</v>
      </c>
      <c r="AE68" s="16">
        <v>28</v>
      </c>
      <c r="AF68" s="23">
        <f t="shared" ca="1" si="21"/>
        <v>45779</v>
      </c>
      <c r="AG68" s="23">
        <f t="shared" ca="1" si="24"/>
        <v>45769</v>
      </c>
    </row>
    <row r="69" spans="1:33" x14ac:dyDescent="0.2">
      <c r="A69" s="58"/>
      <c r="B69" s="43">
        <v>29</v>
      </c>
      <c r="C69" s="44">
        <f t="shared" ca="1" si="22"/>
        <v>45810</v>
      </c>
      <c r="D69" s="45">
        <f t="shared" ca="1" si="4"/>
        <v>39911.529999999977</v>
      </c>
      <c r="E69" s="46">
        <f t="shared" ca="1" si="2"/>
        <v>38882.599999999977</v>
      </c>
      <c r="F69" s="47">
        <f t="shared" ca="1" si="11"/>
        <v>1028.9299999999998</v>
      </c>
      <c r="G69" s="47">
        <f t="shared" ca="1" si="12"/>
        <v>421.95</v>
      </c>
      <c r="H69" s="47">
        <f t="shared" ca="1" si="13"/>
        <v>52.38</v>
      </c>
      <c r="I69" s="47">
        <f t="shared" si="14"/>
        <v>350</v>
      </c>
      <c r="J69" s="47"/>
      <c r="K69" s="45">
        <f t="shared" ca="1" si="15"/>
        <v>1503.26</v>
      </c>
      <c r="L69" s="47">
        <f t="shared" si="5"/>
        <v>10</v>
      </c>
      <c r="M69" s="48">
        <f t="shared" ca="1" si="16"/>
        <v>1863.26</v>
      </c>
      <c r="N69" s="58"/>
      <c r="O69" s="20">
        <f t="shared" ca="1" si="6"/>
        <v>0.71424198999999999</v>
      </c>
      <c r="P69" s="24">
        <f t="shared" ca="1" si="7"/>
        <v>1</v>
      </c>
      <c r="Q69" s="22">
        <f t="shared" ca="1" si="3"/>
        <v>882</v>
      </c>
      <c r="S69" s="25">
        <f t="shared" ca="1" si="23"/>
        <v>421.95147856426661</v>
      </c>
      <c r="T69" s="26">
        <f t="shared" ca="1" si="17"/>
        <v>0</v>
      </c>
      <c r="W69" s="27">
        <f t="shared" ca="1" si="9"/>
        <v>52.38</v>
      </c>
      <c r="X69" s="27"/>
      <c r="Y69" s="14">
        <f t="shared" si="10"/>
        <v>350</v>
      </c>
      <c r="AA69" s="23">
        <f t="shared" ca="1" si="18"/>
        <v>45810</v>
      </c>
      <c r="AB69" s="23">
        <f t="shared" ca="1" si="19"/>
        <v>45810</v>
      </c>
      <c r="AC69" s="23">
        <f t="shared" ca="1" si="20"/>
        <v>45810</v>
      </c>
      <c r="AE69" s="16">
        <v>29</v>
      </c>
      <c r="AF69" s="23">
        <f t="shared" ca="1" si="21"/>
        <v>45810</v>
      </c>
      <c r="AG69" s="23">
        <f t="shared" ca="1" si="24"/>
        <v>45799</v>
      </c>
    </row>
    <row r="70" spans="1:33" x14ac:dyDescent="0.2">
      <c r="A70" s="58"/>
      <c r="B70" s="43">
        <v>30</v>
      </c>
      <c r="C70" s="44">
        <f t="shared" ca="1" si="22"/>
        <v>45840</v>
      </c>
      <c r="D70" s="45">
        <f t="shared" ca="1" si="4"/>
        <v>38882.599999999977</v>
      </c>
      <c r="E70" s="46">
        <f t="shared" ca="1" si="2"/>
        <v>37826.469999999979</v>
      </c>
      <c r="F70" s="47">
        <f t="shared" ca="1" si="11"/>
        <v>1056.1299999999999</v>
      </c>
      <c r="G70" s="47">
        <f t="shared" ca="1" si="12"/>
        <v>397.75</v>
      </c>
      <c r="H70" s="47">
        <f t="shared" ca="1" si="13"/>
        <v>49.38</v>
      </c>
      <c r="I70" s="47">
        <f t="shared" si="14"/>
        <v>350</v>
      </c>
      <c r="J70" s="47"/>
      <c r="K70" s="45">
        <f t="shared" ca="1" si="15"/>
        <v>1503.26</v>
      </c>
      <c r="L70" s="47">
        <f t="shared" si="5"/>
        <v>10</v>
      </c>
      <c r="M70" s="48">
        <f t="shared" ca="1" si="16"/>
        <v>1863.26</v>
      </c>
      <c r="N70" s="58"/>
      <c r="O70" s="20">
        <f t="shared" ca="1" si="6"/>
        <v>0.70611288000000005</v>
      </c>
      <c r="P70" s="24">
        <f t="shared" ca="1" si="7"/>
        <v>1</v>
      </c>
      <c r="Q70" s="22">
        <f t="shared" ca="1" si="3"/>
        <v>912</v>
      </c>
      <c r="S70" s="25">
        <f t="shared" ca="1" si="23"/>
        <v>397.74543249096178</v>
      </c>
      <c r="T70" s="26">
        <f t="shared" ca="1" si="17"/>
        <v>0</v>
      </c>
      <c r="W70" s="27">
        <f t="shared" ca="1" si="9"/>
        <v>49.38</v>
      </c>
      <c r="X70" s="27"/>
      <c r="Y70" s="14">
        <f t="shared" si="10"/>
        <v>350</v>
      </c>
      <c r="AA70" s="23">
        <f t="shared" ca="1" si="18"/>
        <v>45840</v>
      </c>
      <c r="AB70" s="23">
        <f t="shared" ca="1" si="19"/>
        <v>45840</v>
      </c>
      <c r="AC70" s="23">
        <f t="shared" ca="1" si="20"/>
        <v>45840</v>
      </c>
      <c r="AE70" s="16">
        <v>30</v>
      </c>
      <c r="AF70" s="23">
        <f t="shared" ca="1" si="21"/>
        <v>45840</v>
      </c>
      <c r="AG70" s="23">
        <f t="shared" ca="1" si="24"/>
        <v>45829</v>
      </c>
    </row>
    <row r="71" spans="1:33" x14ac:dyDescent="0.2">
      <c r="A71" s="58"/>
      <c r="B71" s="43">
        <v>31</v>
      </c>
      <c r="C71" s="44">
        <f t="shared" ca="1" si="22"/>
        <v>45871</v>
      </c>
      <c r="D71" s="45">
        <f t="shared" ca="1" si="4"/>
        <v>37826.469999999979</v>
      </c>
      <c r="E71" s="46">
        <f t="shared" ca="1" si="2"/>
        <v>36772.75999999998</v>
      </c>
      <c r="F71" s="47">
        <f t="shared" ca="1" si="11"/>
        <v>1053.7099999999998</v>
      </c>
      <c r="G71" s="47">
        <f t="shared" ca="1" si="12"/>
        <v>399.91</v>
      </c>
      <c r="H71" s="47">
        <f t="shared" ca="1" si="13"/>
        <v>49.64</v>
      </c>
      <c r="I71" s="47">
        <f t="shared" si="14"/>
        <v>350</v>
      </c>
      <c r="J71" s="47"/>
      <c r="K71" s="45">
        <f t="shared" ca="1" si="15"/>
        <v>1503.26</v>
      </c>
      <c r="L71" s="47">
        <f t="shared" si="5"/>
        <v>10</v>
      </c>
      <c r="M71" s="48">
        <f t="shared" ca="1" si="16"/>
        <v>1863.26</v>
      </c>
      <c r="N71" s="58"/>
      <c r="O71" s="20">
        <f t="shared" ca="1" si="6"/>
        <v>0.69780998999999999</v>
      </c>
      <c r="P71" s="24">
        <f t="shared" ca="1" si="7"/>
        <v>1</v>
      </c>
      <c r="Q71" s="22">
        <f t="shared" ca="1" si="3"/>
        <v>943</v>
      </c>
      <c r="S71" s="25">
        <f t="shared" ca="1" si="23"/>
        <v>399.90786986534653</v>
      </c>
      <c r="T71" s="26">
        <f t="shared" ca="1" si="17"/>
        <v>0</v>
      </c>
      <c r="W71" s="27">
        <f t="shared" ca="1" si="9"/>
        <v>49.64</v>
      </c>
      <c r="X71" s="27"/>
      <c r="Y71" s="14">
        <f t="shared" si="10"/>
        <v>350</v>
      </c>
      <c r="AA71" s="23">
        <f t="shared" ca="1" si="18"/>
        <v>45871</v>
      </c>
      <c r="AB71" s="23">
        <f t="shared" ca="1" si="19"/>
        <v>45871</v>
      </c>
      <c r="AC71" s="23">
        <f t="shared" ca="1" si="20"/>
        <v>45871</v>
      </c>
      <c r="AE71" s="16">
        <v>31</v>
      </c>
      <c r="AF71" s="23">
        <f t="shared" ca="1" si="21"/>
        <v>45871</v>
      </c>
      <c r="AG71" s="23">
        <f t="shared" ca="1" si="24"/>
        <v>45859</v>
      </c>
    </row>
    <row r="72" spans="1:33" x14ac:dyDescent="0.2">
      <c r="A72" s="58"/>
      <c r="B72" s="43">
        <v>32</v>
      </c>
      <c r="C72" s="44">
        <f t="shared" ca="1" si="22"/>
        <v>45902</v>
      </c>
      <c r="D72" s="45">
        <f t="shared" ca="1" si="4"/>
        <v>36772.75999999998</v>
      </c>
      <c r="E72" s="46">
        <f t="shared" ref="E72:E103" ca="1" si="25">+D72-F72</f>
        <v>35706.529999999977</v>
      </c>
      <c r="F72" s="47">
        <f t="shared" ca="1" si="11"/>
        <v>1066.23</v>
      </c>
      <c r="G72" s="47">
        <f t="shared" ca="1" si="12"/>
        <v>388.77</v>
      </c>
      <c r="H72" s="47">
        <f t="shared" ca="1" si="13"/>
        <v>48.26</v>
      </c>
      <c r="I72" s="47">
        <f t="shared" si="14"/>
        <v>350</v>
      </c>
      <c r="J72" s="47"/>
      <c r="K72" s="45">
        <f t="shared" ca="1" si="15"/>
        <v>1503.26</v>
      </c>
      <c r="L72" s="47">
        <f t="shared" si="5"/>
        <v>10</v>
      </c>
      <c r="M72" s="48">
        <f t="shared" ca="1" si="16"/>
        <v>1863.26</v>
      </c>
      <c r="N72" s="58"/>
      <c r="O72" s="20">
        <f t="shared" ca="1" si="6"/>
        <v>0.68960471999999995</v>
      </c>
      <c r="P72" s="24">
        <f t="shared" ca="1" si="7"/>
        <v>1</v>
      </c>
      <c r="Q72" s="22">
        <f t="shared" ref="Q72:Q103" ca="1" si="26">C72-$C$40</f>
        <v>974</v>
      </c>
      <c r="S72" s="25">
        <f t="shared" ca="1" si="23"/>
        <v>388.76786865572228</v>
      </c>
      <c r="T72" s="26">
        <f t="shared" ca="1" si="17"/>
        <v>0</v>
      </c>
      <c r="W72" s="27">
        <f t="shared" ca="1" si="9"/>
        <v>48.26</v>
      </c>
      <c r="X72" s="27"/>
      <c r="Y72" s="14">
        <f t="shared" si="10"/>
        <v>350</v>
      </c>
      <c r="AA72" s="23">
        <f t="shared" ca="1" si="18"/>
        <v>45902</v>
      </c>
      <c r="AB72" s="23">
        <f t="shared" ca="1" si="19"/>
        <v>45902</v>
      </c>
      <c r="AC72" s="23">
        <f t="shared" ca="1" si="20"/>
        <v>45902</v>
      </c>
      <c r="AE72" s="16">
        <v>32</v>
      </c>
      <c r="AF72" s="23">
        <f t="shared" ca="1" si="21"/>
        <v>45902</v>
      </c>
      <c r="AG72" s="23">
        <f t="shared" ca="1" si="24"/>
        <v>45889</v>
      </c>
    </row>
    <row r="73" spans="1:33" x14ac:dyDescent="0.2">
      <c r="A73" s="58"/>
      <c r="B73" s="43">
        <v>33</v>
      </c>
      <c r="C73" s="44">
        <f t="shared" ca="1" si="22"/>
        <v>45932</v>
      </c>
      <c r="D73" s="45">
        <f t="shared" ref="D73:D104" ca="1" si="27">+E72</f>
        <v>35706.529999999977</v>
      </c>
      <c r="E73" s="46">
        <f t="shared" ca="1" si="25"/>
        <v>34613.879999999976</v>
      </c>
      <c r="F73" s="47">
        <f t="shared" ca="1" si="11"/>
        <v>1092.6500000000001</v>
      </c>
      <c r="G73" s="47">
        <f t="shared" ca="1" si="12"/>
        <v>365.26</v>
      </c>
      <c r="H73" s="47">
        <f t="shared" ca="1" si="13"/>
        <v>45.35</v>
      </c>
      <c r="I73" s="47">
        <f t="shared" si="14"/>
        <v>350</v>
      </c>
      <c r="J73" s="47"/>
      <c r="K73" s="45">
        <f t="shared" ca="1" si="15"/>
        <v>1503.26</v>
      </c>
      <c r="L73" s="47">
        <f t="shared" ref="L73:L104" si="28">+IF(B73&lt;=$E$23,$E$26,0)</f>
        <v>10</v>
      </c>
      <c r="M73" s="48">
        <f t="shared" ca="1" si="16"/>
        <v>1863.26</v>
      </c>
      <c r="N73" s="58"/>
      <c r="O73" s="20">
        <f t="shared" ref="O73:O104" ca="1" si="29">IF(B73&lt;=$E$23,ROUND((1+$G$23)^(-Q73),8),0)</f>
        <v>0.68175602000000002</v>
      </c>
      <c r="P73" s="24">
        <f t="shared" ref="P73:P104" ca="1" si="30">VLOOKUP(MONTH(C73),$S$15:$T$32,2,0)</f>
        <v>1</v>
      </c>
      <c r="Q73" s="22">
        <f t="shared" ca="1" si="26"/>
        <v>1004</v>
      </c>
      <c r="S73" s="25">
        <f t="shared" ca="1" si="23"/>
        <v>365.25616130612411</v>
      </c>
      <c r="T73" s="26">
        <f t="shared" ca="1" si="17"/>
        <v>0</v>
      </c>
      <c r="W73" s="27">
        <f t="shared" ca="1" si="9"/>
        <v>45.35</v>
      </c>
      <c r="X73" s="27"/>
      <c r="Y73" s="14">
        <f t="shared" ref="Y73:Y104" si="31">IF(B73&lt;=$E$23,ROUND($E$27*$E$9/12,8),0)</f>
        <v>350</v>
      </c>
      <c r="AA73" s="23">
        <f t="shared" ca="1" si="18"/>
        <v>45932</v>
      </c>
      <c r="AB73" s="23">
        <f t="shared" ca="1" si="19"/>
        <v>45932</v>
      </c>
      <c r="AC73" s="23">
        <f t="shared" ca="1" si="20"/>
        <v>45932</v>
      </c>
      <c r="AE73" s="16">
        <v>33</v>
      </c>
      <c r="AF73" s="23">
        <f t="shared" ca="1" si="21"/>
        <v>45932</v>
      </c>
      <c r="AG73" s="23">
        <f t="shared" ca="1" si="24"/>
        <v>45919</v>
      </c>
    </row>
    <row r="74" spans="1:33" x14ac:dyDescent="0.2">
      <c r="A74" s="58"/>
      <c r="B74" s="43">
        <v>34</v>
      </c>
      <c r="C74" s="44">
        <f t="shared" ca="1" si="22"/>
        <v>45963</v>
      </c>
      <c r="D74" s="45">
        <f t="shared" ca="1" si="27"/>
        <v>34613.879999999976</v>
      </c>
      <c r="E74" s="46">
        <f t="shared" ca="1" si="25"/>
        <v>33521.989999999976</v>
      </c>
      <c r="F74" s="47">
        <f t="shared" ca="1" si="11"/>
        <v>1091.8899999999999</v>
      </c>
      <c r="G74" s="47">
        <f t="shared" ca="1" si="12"/>
        <v>365.94</v>
      </c>
      <c r="H74" s="47">
        <f t="shared" ca="1" si="13"/>
        <v>45.43</v>
      </c>
      <c r="I74" s="47">
        <f t="shared" si="14"/>
        <v>350</v>
      </c>
      <c r="J74" s="47"/>
      <c r="K74" s="45">
        <f t="shared" ca="1" si="15"/>
        <v>1503.26</v>
      </c>
      <c r="L74" s="47">
        <f t="shared" si="28"/>
        <v>10</v>
      </c>
      <c r="M74" s="48">
        <f t="shared" ca="1" si="16"/>
        <v>1863.26</v>
      </c>
      <c r="N74" s="58"/>
      <c r="O74" s="20">
        <f t="shared" ca="1" si="29"/>
        <v>0.67373952999999998</v>
      </c>
      <c r="P74" s="24">
        <f t="shared" ca="1" si="30"/>
        <v>1</v>
      </c>
      <c r="Q74" s="22">
        <f t="shared" ca="1" si="26"/>
        <v>1035</v>
      </c>
      <c r="S74" s="25">
        <f t="shared" ca="1" si="23"/>
        <v>365.9438223702798</v>
      </c>
      <c r="T74" s="26">
        <f t="shared" ca="1" si="17"/>
        <v>0</v>
      </c>
      <c r="W74" s="27">
        <f t="shared" ca="1" si="9"/>
        <v>45.43</v>
      </c>
      <c r="X74" s="27"/>
      <c r="Y74" s="14">
        <f t="shared" si="31"/>
        <v>350</v>
      </c>
      <c r="AA74" s="23">
        <f t="shared" ref="AA74:AA105" ca="1" si="32">IF($E$15="Mensual",C73+30,DATE(YEAR(C73),MONTH(C73)+1,DAY(C73)))</f>
        <v>45963</v>
      </c>
      <c r="AB74" s="23">
        <f t="shared" ca="1" si="19"/>
        <v>45963</v>
      </c>
      <c r="AC74" s="23">
        <f t="shared" ca="1" si="20"/>
        <v>45963</v>
      </c>
      <c r="AE74" s="16">
        <v>34</v>
      </c>
      <c r="AF74" s="23">
        <f t="shared" ref="AF74:AF105" ca="1" si="33">IF(DAY(EOMONTH(C73,1))&lt;$G$15,DATE(YEAR(C73),MONTH(C73)+2,0),DATE(YEAR(C73),MONTH(C73)+1,DAY($G$15)))</f>
        <v>45963</v>
      </c>
      <c r="AG74" s="23">
        <f t="shared" ca="1" si="24"/>
        <v>45949</v>
      </c>
    </row>
    <row r="75" spans="1:33" x14ac:dyDescent="0.2">
      <c r="A75" s="58"/>
      <c r="B75" s="43">
        <v>35</v>
      </c>
      <c r="C75" s="44">
        <f t="shared" ca="1" si="22"/>
        <v>45993</v>
      </c>
      <c r="D75" s="45">
        <f t="shared" ca="1" si="27"/>
        <v>33521.989999999976</v>
      </c>
      <c r="E75" s="46">
        <f t="shared" ca="1" si="25"/>
        <v>32404.209999999977</v>
      </c>
      <c r="F75" s="47">
        <f t="shared" ca="1" si="11"/>
        <v>1117.78</v>
      </c>
      <c r="G75" s="47">
        <f t="shared" ca="1" si="12"/>
        <v>342.91</v>
      </c>
      <c r="H75" s="47">
        <f t="shared" ca="1" si="13"/>
        <v>42.57</v>
      </c>
      <c r="I75" s="47">
        <f t="shared" si="14"/>
        <v>350</v>
      </c>
      <c r="J75" s="47"/>
      <c r="K75" s="45">
        <f t="shared" ca="1" si="15"/>
        <v>1503.26</v>
      </c>
      <c r="L75" s="47">
        <f t="shared" si="28"/>
        <v>10</v>
      </c>
      <c r="M75" s="48">
        <f t="shared" ca="1" si="16"/>
        <v>1863.26</v>
      </c>
      <c r="N75" s="58"/>
      <c r="O75" s="20">
        <f t="shared" ca="1" si="29"/>
        <v>0.66607139000000004</v>
      </c>
      <c r="P75" s="24">
        <f t="shared" ca="1" si="30"/>
        <v>1</v>
      </c>
      <c r="Q75" s="22">
        <f t="shared" ca="1" si="26"/>
        <v>1065</v>
      </c>
      <c r="S75" s="25">
        <f t="shared" ca="1" si="23"/>
        <v>342.90964108644215</v>
      </c>
      <c r="T75" s="26">
        <f t="shared" ca="1" si="17"/>
        <v>0</v>
      </c>
      <c r="W75" s="27">
        <f t="shared" ca="1" si="9"/>
        <v>42.57</v>
      </c>
      <c r="X75" s="27"/>
      <c r="Y75" s="14">
        <f t="shared" si="31"/>
        <v>350</v>
      </c>
      <c r="AA75" s="23">
        <f t="shared" ca="1" si="32"/>
        <v>45993</v>
      </c>
      <c r="AB75" s="23">
        <f t="shared" ca="1" si="19"/>
        <v>45993</v>
      </c>
      <c r="AC75" s="23">
        <f t="shared" ca="1" si="20"/>
        <v>45993</v>
      </c>
      <c r="AE75" s="16">
        <v>35</v>
      </c>
      <c r="AF75" s="23">
        <f t="shared" ca="1" si="33"/>
        <v>45993</v>
      </c>
      <c r="AG75" s="23">
        <f t="shared" ca="1" si="24"/>
        <v>45979</v>
      </c>
    </row>
    <row r="76" spans="1:33" x14ac:dyDescent="0.2">
      <c r="A76" s="58"/>
      <c r="B76" s="43">
        <v>36</v>
      </c>
      <c r="C76" s="44">
        <f t="shared" ca="1" si="22"/>
        <v>46024</v>
      </c>
      <c r="D76" s="45">
        <f t="shared" ca="1" si="27"/>
        <v>32404.209999999977</v>
      </c>
      <c r="E76" s="46">
        <f t="shared" ca="1" si="25"/>
        <v>31286.059999999976</v>
      </c>
      <c r="F76" s="47">
        <f t="shared" ca="1" si="11"/>
        <v>1118.1500000000001</v>
      </c>
      <c r="G76" s="47">
        <f t="shared" ca="1" si="12"/>
        <v>342.58</v>
      </c>
      <c r="H76" s="47">
        <f t="shared" ca="1" si="13"/>
        <v>42.53</v>
      </c>
      <c r="I76" s="47">
        <f t="shared" si="14"/>
        <v>350</v>
      </c>
      <c r="J76" s="47"/>
      <c r="K76" s="45">
        <f t="shared" ca="1" si="15"/>
        <v>1503.26</v>
      </c>
      <c r="L76" s="47">
        <f t="shared" si="28"/>
        <v>10</v>
      </c>
      <c r="M76" s="48">
        <f t="shared" ca="1" si="16"/>
        <v>1863.26</v>
      </c>
      <c r="N76" s="58"/>
      <c r="O76" s="20">
        <f t="shared" ca="1" si="29"/>
        <v>0.65823933000000001</v>
      </c>
      <c r="P76" s="24">
        <f t="shared" ca="1" si="30"/>
        <v>1</v>
      </c>
      <c r="Q76" s="22">
        <f t="shared" ca="1" si="26"/>
        <v>1096</v>
      </c>
      <c r="S76" s="25">
        <f t="shared" ca="1" si="23"/>
        <v>342.58281557251729</v>
      </c>
      <c r="T76" s="26">
        <f t="shared" ca="1" si="17"/>
        <v>0</v>
      </c>
      <c r="W76" s="27">
        <f t="shared" ca="1" si="9"/>
        <v>42.53</v>
      </c>
      <c r="X76" s="27"/>
      <c r="Y76" s="14">
        <f t="shared" si="31"/>
        <v>350</v>
      </c>
      <c r="AA76" s="23">
        <f t="shared" ca="1" si="32"/>
        <v>46024</v>
      </c>
      <c r="AB76" s="23">
        <f t="shared" ca="1" si="19"/>
        <v>46024</v>
      </c>
      <c r="AC76" s="23">
        <f t="shared" ca="1" si="20"/>
        <v>46024</v>
      </c>
      <c r="AE76" s="16">
        <v>36</v>
      </c>
      <c r="AF76" s="23">
        <f t="shared" ca="1" si="33"/>
        <v>46024</v>
      </c>
      <c r="AG76" s="23">
        <f t="shared" ca="1" si="24"/>
        <v>46009</v>
      </c>
    </row>
    <row r="77" spans="1:33" x14ac:dyDescent="0.2">
      <c r="A77" s="58"/>
      <c r="B77" s="43">
        <v>37</v>
      </c>
      <c r="C77" s="44">
        <f t="shared" ca="1" si="22"/>
        <v>46055</v>
      </c>
      <c r="D77" s="45">
        <f t="shared" ca="1" si="27"/>
        <v>31286.059999999976</v>
      </c>
      <c r="E77" s="46">
        <f t="shared" ca="1" si="25"/>
        <v>30154.619999999977</v>
      </c>
      <c r="F77" s="47">
        <f t="shared" ca="1" si="11"/>
        <v>1131.44</v>
      </c>
      <c r="G77" s="47">
        <f t="shared" ca="1" si="12"/>
        <v>330.76</v>
      </c>
      <c r="H77" s="47">
        <f t="shared" ca="1" si="13"/>
        <v>41.06</v>
      </c>
      <c r="I77" s="47">
        <f t="shared" si="14"/>
        <v>350</v>
      </c>
      <c r="J77" s="47"/>
      <c r="K77" s="45">
        <f t="shared" ca="1" si="15"/>
        <v>1503.26</v>
      </c>
      <c r="L77" s="47">
        <f t="shared" si="28"/>
        <v>10</v>
      </c>
      <c r="M77" s="48">
        <f t="shared" ca="1" si="16"/>
        <v>1863.26</v>
      </c>
      <c r="N77" s="58"/>
      <c r="O77" s="20">
        <f t="shared" ca="1" si="29"/>
        <v>0.65049935999999997</v>
      </c>
      <c r="P77" s="24">
        <f t="shared" ca="1" si="30"/>
        <v>1</v>
      </c>
      <c r="Q77" s="22">
        <f t="shared" ca="1" si="26"/>
        <v>1127</v>
      </c>
      <c r="S77" s="25">
        <f t="shared" ca="1" si="23"/>
        <v>330.76154373060507</v>
      </c>
      <c r="T77" s="26">
        <f t="shared" ca="1" si="17"/>
        <v>0</v>
      </c>
      <c r="W77" s="27">
        <f t="shared" ca="1" si="9"/>
        <v>41.06</v>
      </c>
      <c r="X77" s="27"/>
      <c r="Y77" s="14">
        <f t="shared" si="31"/>
        <v>350</v>
      </c>
      <c r="AA77" s="23">
        <f t="shared" ca="1" si="32"/>
        <v>46055</v>
      </c>
      <c r="AB77" s="23">
        <f t="shared" ca="1" si="19"/>
        <v>46055</v>
      </c>
      <c r="AC77" s="23">
        <f t="shared" ca="1" si="20"/>
        <v>46055</v>
      </c>
      <c r="AE77" s="16">
        <v>37</v>
      </c>
      <c r="AF77" s="23">
        <f t="shared" ca="1" si="33"/>
        <v>46055</v>
      </c>
      <c r="AG77" s="23">
        <f t="shared" ca="1" si="24"/>
        <v>46039</v>
      </c>
    </row>
    <row r="78" spans="1:33" x14ac:dyDescent="0.2">
      <c r="A78" s="58"/>
      <c r="B78" s="43">
        <v>38</v>
      </c>
      <c r="C78" s="44">
        <f t="shared" ca="1" si="22"/>
        <v>46083</v>
      </c>
      <c r="D78" s="45">
        <f t="shared" ca="1" si="27"/>
        <v>30154.619999999977</v>
      </c>
      <c r="E78" s="46">
        <f t="shared" ca="1" si="25"/>
        <v>28974.899999999976</v>
      </c>
      <c r="F78" s="47">
        <f t="shared" ca="1" si="11"/>
        <v>1179.72</v>
      </c>
      <c r="G78" s="47">
        <f t="shared" ca="1" si="12"/>
        <v>287.8</v>
      </c>
      <c r="H78" s="47">
        <f t="shared" ca="1" si="13"/>
        <v>35.74</v>
      </c>
      <c r="I78" s="47">
        <f t="shared" si="14"/>
        <v>350</v>
      </c>
      <c r="J78" s="47"/>
      <c r="K78" s="45">
        <f t="shared" ca="1" si="15"/>
        <v>1503.26</v>
      </c>
      <c r="L78" s="47">
        <f t="shared" si="28"/>
        <v>10</v>
      </c>
      <c r="M78" s="48">
        <f t="shared" ca="1" si="16"/>
        <v>1863.26</v>
      </c>
      <c r="N78" s="58"/>
      <c r="O78" s="20">
        <f t="shared" ca="1" si="29"/>
        <v>0.64358667999999997</v>
      </c>
      <c r="P78" s="24">
        <f t="shared" ca="1" si="30"/>
        <v>1</v>
      </c>
      <c r="Q78" s="22">
        <f t="shared" ca="1" si="26"/>
        <v>1155</v>
      </c>
      <c r="S78" s="25">
        <f t="shared" ca="1" si="23"/>
        <v>287.80144172943204</v>
      </c>
      <c r="T78" s="26">
        <f t="shared" ca="1" si="17"/>
        <v>0</v>
      </c>
      <c r="W78" s="27">
        <f t="shared" ca="1" si="9"/>
        <v>35.74</v>
      </c>
      <c r="X78" s="27"/>
      <c r="Y78" s="14">
        <f t="shared" si="31"/>
        <v>350</v>
      </c>
      <c r="AA78" s="23">
        <f t="shared" ca="1" si="32"/>
        <v>46083</v>
      </c>
      <c r="AB78" s="23">
        <f t="shared" ca="1" si="19"/>
        <v>46083</v>
      </c>
      <c r="AC78" s="23">
        <f t="shared" ca="1" si="20"/>
        <v>46083</v>
      </c>
      <c r="AE78" s="16">
        <v>38</v>
      </c>
      <c r="AF78" s="23">
        <f t="shared" ca="1" si="33"/>
        <v>46083</v>
      </c>
      <c r="AG78" s="23">
        <f t="shared" ca="1" si="24"/>
        <v>46069</v>
      </c>
    </row>
    <row r="79" spans="1:33" x14ac:dyDescent="0.2">
      <c r="A79" s="58"/>
      <c r="B79" s="43">
        <v>39</v>
      </c>
      <c r="C79" s="44">
        <f t="shared" ca="1" si="22"/>
        <v>46114</v>
      </c>
      <c r="D79" s="45">
        <f t="shared" ca="1" si="27"/>
        <v>28974.899999999976</v>
      </c>
      <c r="E79" s="46">
        <f t="shared" ca="1" si="25"/>
        <v>27815.999999999975</v>
      </c>
      <c r="F79" s="47">
        <f t="shared" ca="1" si="11"/>
        <v>1158.9000000000001</v>
      </c>
      <c r="G79" s="47">
        <f t="shared" ca="1" si="12"/>
        <v>306.33</v>
      </c>
      <c r="H79" s="47">
        <f t="shared" ca="1" si="13"/>
        <v>38.03</v>
      </c>
      <c r="I79" s="47">
        <f t="shared" si="14"/>
        <v>350</v>
      </c>
      <c r="J79" s="47"/>
      <c r="K79" s="45">
        <f t="shared" ca="1" si="15"/>
        <v>1503.26</v>
      </c>
      <c r="L79" s="47">
        <f t="shared" si="28"/>
        <v>10</v>
      </c>
      <c r="M79" s="48">
        <f t="shared" ca="1" si="16"/>
        <v>1863.26</v>
      </c>
      <c r="N79" s="58"/>
      <c r="O79" s="20">
        <f t="shared" ca="1" si="29"/>
        <v>0.636019</v>
      </c>
      <c r="P79" s="24">
        <f t="shared" ca="1" si="30"/>
        <v>1</v>
      </c>
      <c r="Q79" s="22">
        <f t="shared" ca="1" si="26"/>
        <v>1186</v>
      </c>
      <c r="S79" s="25">
        <f t="shared" ca="1" si="23"/>
        <v>306.32756740349879</v>
      </c>
      <c r="T79" s="26">
        <f t="shared" ca="1" si="17"/>
        <v>0</v>
      </c>
      <c r="W79" s="27">
        <f t="shared" ca="1" si="9"/>
        <v>38.03</v>
      </c>
      <c r="X79" s="27"/>
      <c r="Y79" s="14">
        <f t="shared" si="31"/>
        <v>350</v>
      </c>
      <c r="AA79" s="23">
        <f t="shared" ca="1" si="32"/>
        <v>46114</v>
      </c>
      <c r="AB79" s="23">
        <f t="shared" ca="1" si="19"/>
        <v>46114</v>
      </c>
      <c r="AC79" s="23">
        <f t="shared" ca="1" si="20"/>
        <v>46114</v>
      </c>
      <c r="AE79" s="16">
        <v>39</v>
      </c>
      <c r="AF79" s="23">
        <f t="shared" ca="1" si="33"/>
        <v>46114</v>
      </c>
      <c r="AG79" s="23">
        <f t="shared" ca="1" si="24"/>
        <v>46099</v>
      </c>
    </row>
    <row r="80" spans="1:33" x14ac:dyDescent="0.2">
      <c r="A80" s="58"/>
      <c r="B80" s="43">
        <v>40</v>
      </c>
      <c r="C80" s="44">
        <f t="shared" ca="1" si="22"/>
        <v>46144</v>
      </c>
      <c r="D80" s="45">
        <f t="shared" ca="1" si="27"/>
        <v>27815.999999999975</v>
      </c>
      <c r="E80" s="46">
        <f t="shared" ca="1" si="25"/>
        <v>26632.609999999975</v>
      </c>
      <c r="F80" s="47">
        <f t="shared" ca="1" si="11"/>
        <v>1183.3900000000001</v>
      </c>
      <c r="G80" s="47">
        <f t="shared" ca="1" si="12"/>
        <v>284.54000000000002</v>
      </c>
      <c r="H80" s="47">
        <f t="shared" ca="1" si="13"/>
        <v>35.33</v>
      </c>
      <c r="I80" s="47">
        <f t="shared" si="14"/>
        <v>350</v>
      </c>
      <c r="J80" s="47"/>
      <c r="K80" s="45">
        <f t="shared" ca="1" si="15"/>
        <v>1503.26</v>
      </c>
      <c r="L80" s="47">
        <f t="shared" si="28"/>
        <v>10</v>
      </c>
      <c r="M80" s="48">
        <f t="shared" ca="1" si="16"/>
        <v>1863.26</v>
      </c>
      <c r="N80" s="58"/>
      <c r="O80" s="20">
        <f t="shared" ca="1" si="29"/>
        <v>0.62878018000000002</v>
      </c>
      <c r="P80" s="24">
        <f t="shared" ca="1" si="30"/>
        <v>1</v>
      </c>
      <c r="Q80" s="22">
        <f t="shared" ca="1" si="26"/>
        <v>1216</v>
      </c>
      <c r="S80" s="25">
        <f t="shared" ca="1" si="23"/>
        <v>284.54082160577195</v>
      </c>
      <c r="T80" s="26">
        <f t="shared" ca="1" si="17"/>
        <v>0</v>
      </c>
      <c r="W80" s="27">
        <f t="shared" ca="1" si="9"/>
        <v>35.33</v>
      </c>
      <c r="X80" s="27"/>
      <c r="Y80" s="14">
        <f t="shared" si="31"/>
        <v>350</v>
      </c>
      <c r="AA80" s="23">
        <f t="shared" ca="1" si="32"/>
        <v>46144</v>
      </c>
      <c r="AB80" s="23">
        <f t="shared" ca="1" si="19"/>
        <v>46144</v>
      </c>
      <c r="AC80" s="23">
        <f t="shared" ca="1" si="20"/>
        <v>46144</v>
      </c>
      <c r="AE80" s="16">
        <v>40</v>
      </c>
      <c r="AF80" s="23">
        <f t="shared" ca="1" si="33"/>
        <v>46144</v>
      </c>
      <c r="AG80" s="23">
        <f t="shared" ca="1" si="24"/>
        <v>46129</v>
      </c>
    </row>
    <row r="81" spans="1:33" x14ac:dyDescent="0.2">
      <c r="A81" s="58"/>
      <c r="B81" s="43">
        <v>41</v>
      </c>
      <c r="C81" s="44">
        <f t="shared" ca="1" si="22"/>
        <v>46175</v>
      </c>
      <c r="D81" s="45">
        <f t="shared" ca="1" si="27"/>
        <v>26632.609999999975</v>
      </c>
      <c r="E81" s="46">
        <f t="shared" ca="1" si="25"/>
        <v>25445.859999999975</v>
      </c>
      <c r="F81" s="47">
        <f t="shared" ca="1" si="11"/>
        <v>1186.75</v>
      </c>
      <c r="G81" s="47">
        <f t="shared" ca="1" si="12"/>
        <v>281.56</v>
      </c>
      <c r="H81" s="47">
        <f t="shared" ca="1" si="13"/>
        <v>34.950000000000003</v>
      </c>
      <c r="I81" s="47">
        <f t="shared" si="14"/>
        <v>350</v>
      </c>
      <c r="J81" s="47"/>
      <c r="K81" s="45">
        <f t="shared" ca="1" si="15"/>
        <v>1503.26</v>
      </c>
      <c r="L81" s="47">
        <f t="shared" si="28"/>
        <v>10</v>
      </c>
      <c r="M81" s="48">
        <f t="shared" ca="1" si="16"/>
        <v>1863.26</v>
      </c>
      <c r="N81" s="58"/>
      <c r="O81" s="20">
        <f t="shared" ca="1" si="29"/>
        <v>0.62138660999999995</v>
      </c>
      <c r="P81" s="24">
        <f t="shared" ca="1" si="30"/>
        <v>1</v>
      </c>
      <c r="Q81" s="22">
        <f t="shared" ca="1" si="26"/>
        <v>1247</v>
      </c>
      <c r="S81" s="25">
        <f t="shared" ca="1" si="23"/>
        <v>281.56447942550608</v>
      </c>
      <c r="T81" s="26">
        <f t="shared" ca="1" si="17"/>
        <v>0</v>
      </c>
      <c r="W81" s="27">
        <f t="shared" ca="1" si="9"/>
        <v>34.950000000000003</v>
      </c>
      <c r="X81" s="27"/>
      <c r="Y81" s="14">
        <f t="shared" si="31"/>
        <v>350</v>
      </c>
      <c r="AA81" s="23">
        <f t="shared" ca="1" si="32"/>
        <v>46175</v>
      </c>
      <c r="AB81" s="23">
        <f t="shared" ca="1" si="19"/>
        <v>46175</v>
      </c>
      <c r="AC81" s="23">
        <f t="shared" ca="1" si="20"/>
        <v>46175</v>
      </c>
      <c r="AE81" s="16">
        <v>41</v>
      </c>
      <c r="AF81" s="23">
        <f t="shared" ca="1" si="33"/>
        <v>46175</v>
      </c>
      <c r="AG81" s="23">
        <f t="shared" ca="1" si="24"/>
        <v>46159</v>
      </c>
    </row>
    <row r="82" spans="1:33" x14ac:dyDescent="0.2">
      <c r="A82" s="58"/>
      <c r="B82" s="43">
        <v>42</v>
      </c>
      <c r="C82" s="44">
        <f t="shared" ca="1" si="22"/>
        <v>46205</v>
      </c>
      <c r="D82" s="45">
        <f t="shared" ca="1" si="27"/>
        <v>25445.859999999975</v>
      </c>
      <c r="E82" s="46">
        <f t="shared" ca="1" si="25"/>
        <v>24235.219999999976</v>
      </c>
      <c r="F82" s="47">
        <f t="shared" ca="1" si="11"/>
        <v>1210.6400000000001</v>
      </c>
      <c r="G82" s="47">
        <f t="shared" ca="1" si="12"/>
        <v>260.3</v>
      </c>
      <c r="H82" s="47">
        <f t="shared" ca="1" si="13"/>
        <v>32.32</v>
      </c>
      <c r="I82" s="47">
        <f t="shared" si="14"/>
        <v>350</v>
      </c>
      <c r="J82" s="47"/>
      <c r="K82" s="45">
        <f t="shared" ca="1" si="15"/>
        <v>1503.26</v>
      </c>
      <c r="L82" s="47">
        <f t="shared" si="28"/>
        <v>10</v>
      </c>
      <c r="M82" s="48">
        <f t="shared" ca="1" si="16"/>
        <v>1863.26</v>
      </c>
      <c r="N82" s="58"/>
      <c r="O82" s="20">
        <f t="shared" ca="1" si="29"/>
        <v>0.61431433000000002</v>
      </c>
      <c r="P82" s="24">
        <f t="shared" ca="1" si="30"/>
        <v>1</v>
      </c>
      <c r="Q82" s="22">
        <f t="shared" ca="1" si="26"/>
        <v>1277</v>
      </c>
      <c r="S82" s="25">
        <f t="shared" ca="1" si="23"/>
        <v>260.29572587235577</v>
      </c>
      <c r="T82" s="26">
        <f t="shared" ca="1" si="17"/>
        <v>0</v>
      </c>
      <c r="W82" s="27">
        <f t="shared" ca="1" si="9"/>
        <v>32.32</v>
      </c>
      <c r="X82" s="27"/>
      <c r="Y82" s="14">
        <f t="shared" si="31"/>
        <v>350</v>
      </c>
      <c r="AA82" s="23">
        <f t="shared" ca="1" si="32"/>
        <v>46205</v>
      </c>
      <c r="AB82" s="23">
        <f t="shared" ca="1" si="19"/>
        <v>46205</v>
      </c>
      <c r="AC82" s="23">
        <f t="shared" ca="1" si="20"/>
        <v>46205</v>
      </c>
      <c r="AE82" s="16">
        <v>42</v>
      </c>
      <c r="AF82" s="23">
        <f t="shared" ca="1" si="33"/>
        <v>46205</v>
      </c>
      <c r="AG82" s="23">
        <f t="shared" ca="1" si="24"/>
        <v>46189</v>
      </c>
    </row>
    <row r="83" spans="1:33" x14ac:dyDescent="0.2">
      <c r="A83" s="58"/>
      <c r="B83" s="43">
        <v>43</v>
      </c>
      <c r="C83" s="44">
        <f t="shared" ca="1" si="22"/>
        <v>46236</v>
      </c>
      <c r="D83" s="45">
        <f t="shared" ca="1" si="27"/>
        <v>24235.219999999976</v>
      </c>
      <c r="E83" s="46">
        <f t="shared" ca="1" si="25"/>
        <v>23019.989999999976</v>
      </c>
      <c r="F83" s="47">
        <f t="shared" ca="1" si="11"/>
        <v>1215.23</v>
      </c>
      <c r="G83" s="47">
        <f t="shared" ca="1" si="12"/>
        <v>256.22000000000003</v>
      </c>
      <c r="H83" s="47">
        <f t="shared" ca="1" si="13"/>
        <v>31.81</v>
      </c>
      <c r="I83" s="47">
        <f t="shared" si="14"/>
        <v>350</v>
      </c>
      <c r="J83" s="47"/>
      <c r="K83" s="45">
        <f t="shared" ca="1" si="15"/>
        <v>1503.26</v>
      </c>
      <c r="L83" s="47">
        <f t="shared" si="28"/>
        <v>10</v>
      </c>
      <c r="M83" s="48">
        <f t="shared" ca="1" si="16"/>
        <v>1863.26</v>
      </c>
      <c r="N83" s="58"/>
      <c r="O83" s="20">
        <f t="shared" ca="1" si="29"/>
        <v>0.60709086000000001</v>
      </c>
      <c r="P83" s="24">
        <f t="shared" ca="1" si="30"/>
        <v>1</v>
      </c>
      <c r="Q83" s="22">
        <f t="shared" ca="1" si="26"/>
        <v>1308</v>
      </c>
      <c r="S83" s="25">
        <f t="shared" ca="1" si="23"/>
        <v>256.21886488266125</v>
      </c>
      <c r="T83" s="26">
        <f t="shared" ca="1" si="17"/>
        <v>0</v>
      </c>
      <c r="W83" s="27">
        <f t="shared" ca="1" si="9"/>
        <v>31.81</v>
      </c>
      <c r="X83" s="27"/>
      <c r="Y83" s="14">
        <f t="shared" si="31"/>
        <v>350</v>
      </c>
      <c r="AA83" s="23">
        <f t="shared" ca="1" si="32"/>
        <v>46236</v>
      </c>
      <c r="AB83" s="23">
        <f t="shared" ca="1" si="19"/>
        <v>46236</v>
      </c>
      <c r="AC83" s="23">
        <f t="shared" ca="1" si="20"/>
        <v>46236</v>
      </c>
      <c r="AE83" s="16">
        <v>43</v>
      </c>
      <c r="AF83" s="23">
        <f t="shared" ca="1" si="33"/>
        <v>46236</v>
      </c>
      <c r="AG83" s="23">
        <f t="shared" ca="1" si="24"/>
        <v>46219</v>
      </c>
    </row>
    <row r="84" spans="1:33" x14ac:dyDescent="0.2">
      <c r="A84" s="58"/>
      <c r="B84" s="43">
        <v>44</v>
      </c>
      <c r="C84" s="44">
        <f t="shared" ca="1" si="22"/>
        <v>46267</v>
      </c>
      <c r="D84" s="45">
        <f t="shared" ca="1" si="27"/>
        <v>23019.989999999976</v>
      </c>
      <c r="E84" s="46">
        <f t="shared" ca="1" si="25"/>
        <v>21790.309999999976</v>
      </c>
      <c r="F84" s="47">
        <f t="shared" ca="1" si="11"/>
        <v>1229.6799999999998</v>
      </c>
      <c r="G84" s="47">
        <f t="shared" ca="1" si="12"/>
        <v>243.37</v>
      </c>
      <c r="H84" s="47">
        <f t="shared" ca="1" si="13"/>
        <v>30.21</v>
      </c>
      <c r="I84" s="47">
        <f t="shared" si="14"/>
        <v>350</v>
      </c>
      <c r="J84" s="47"/>
      <c r="K84" s="45">
        <f t="shared" ca="1" si="15"/>
        <v>1503.2599999999998</v>
      </c>
      <c r="L84" s="47">
        <f t="shared" si="28"/>
        <v>10</v>
      </c>
      <c r="M84" s="48">
        <f t="shared" ca="1" si="16"/>
        <v>1863.2599999999998</v>
      </c>
      <c r="N84" s="58"/>
      <c r="O84" s="20">
        <f t="shared" ca="1" si="29"/>
        <v>0.59995231999999998</v>
      </c>
      <c r="P84" s="24">
        <f t="shared" ca="1" si="30"/>
        <v>1</v>
      </c>
      <c r="Q84" s="22">
        <f t="shared" ca="1" si="26"/>
        <v>1339</v>
      </c>
      <c r="S84" s="25">
        <f t="shared" ca="1" si="23"/>
        <v>243.3712467809334</v>
      </c>
      <c r="T84" s="26">
        <f t="shared" ca="1" si="17"/>
        <v>0</v>
      </c>
      <c r="W84" s="27">
        <f t="shared" ca="1" si="9"/>
        <v>30.21</v>
      </c>
      <c r="X84" s="27"/>
      <c r="Y84" s="14">
        <f t="shared" si="31"/>
        <v>350</v>
      </c>
      <c r="AA84" s="23">
        <f t="shared" ca="1" si="32"/>
        <v>46267</v>
      </c>
      <c r="AB84" s="23">
        <f t="shared" ca="1" si="19"/>
        <v>46267</v>
      </c>
      <c r="AC84" s="23">
        <f t="shared" ca="1" si="20"/>
        <v>46267</v>
      </c>
      <c r="AE84" s="16">
        <v>44</v>
      </c>
      <c r="AF84" s="23">
        <f t="shared" ca="1" si="33"/>
        <v>46267</v>
      </c>
      <c r="AG84" s="23">
        <f t="shared" ca="1" si="24"/>
        <v>46249</v>
      </c>
    </row>
    <row r="85" spans="1:33" x14ac:dyDescent="0.2">
      <c r="A85" s="58"/>
      <c r="B85" s="43">
        <v>45</v>
      </c>
      <c r="C85" s="44">
        <f t="shared" ca="1" si="22"/>
        <v>46297</v>
      </c>
      <c r="D85" s="45">
        <f t="shared" ca="1" si="27"/>
        <v>21790.309999999976</v>
      </c>
      <c r="E85" s="46">
        <f t="shared" ca="1" si="25"/>
        <v>20537.619999999977</v>
      </c>
      <c r="F85" s="47">
        <f t="shared" ca="1" si="11"/>
        <v>1252.6899999999998</v>
      </c>
      <c r="G85" s="47">
        <f t="shared" ca="1" si="12"/>
        <v>222.9</v>
      </c>
      <c r="H85" s="47">
        <f t="shared" ca="1" si="13"/>
        <v>27.67</v>
      </c>
      <c r="I85" s="47">
        <f t="shared" si="14"/>
        <v>350</v>
      </c>
      <c r="J85" s="47"/>
      <c r="K85" s="45">
        <f t="shared" ca="1" si="15"/>
        <v>1503.26</v>
      </c>
      <c r="L85" s="47">
        <f t="shared" si="28"/>
        <v>10</v>
      </c>
      <c r="M85" s="48">
        <f t="shared" ca="1" si="16"/>
        <v>1863.26</v>
      </c>
      <c r="N85" s="58"/>
      <c r="O85" s="20">
        <f t="shared" ca="1" si="29"/>
        <v>0.59312399999999998</v>
      </c>
      <c r="P85" s="24">
        <f t="shared" ca="1" si="30"/>
        <v>1</v>
      </c>
      <c r="Q85" s="22">
        <f t="shared" ca="1" si="26"/>
        <v>1369</v>
      </c>
      <c r="S85" s="25">
        <f t="shared" ca="1" si="23"/>
        <v>222.90166488511892</v>
      </c>
      <c r="T85" s="26">
        <f t="shared" ca="1" si="17"/>
        <v>0</v>
      </c>
      <c r="W85" s="27">
        <f t="shared" ca="1" si="9"/>
        <v>27.67</v>
      </c>
      <c r="X85" s="27"/>
      <c r="Y85" s="14">
        <f t="shared" si="31"/>
        <v>350</v>
      </c>
      <c r="AA85" s="23">
        <f t="shared" ca="1" si="32"/>
        <v>46297</v>
      </c>
      <c r="AB85" s="23">
        <f t="shared" ca="1" si="19"/>
        <v>46297</v>
      </c>
      <c r="AC85" s="23">
        <f t="shared" ca="1" si="20"/>
        <v>46297</v>
      </c>
      <c r="AE85" s="16">
        <v>45</v>
      </c>
      <c r="AF85" s="23">
        <f t="shared" ca="1" si="33"/>
        <v>46297</v>
      </c>
      <c r="AG85" s="23">
        <f t="shared" ca="1" si="24"/>
        <v>46279</v>
      </c>
    </row>
    <row r="86" spans="1:33" x14ac:dyDescent="0.2">
      <c r="A86" s="58"/>
      <c r="B86" s="43">
        <v>46</v>
      </c>
      <c r="C86" s="44">
        <f t="shared" ca="1" si="22"/>
        <v>46328</v>
      </c>
      <c r="D86" s="45">
        <f t="shared" ca="1" si="27"/>
        <v>20537.619999999977</v>
      </c>
      <c r="E86" s="46">
        <f t="shared" ca="1" si="25"/>
        <v>19278.439999999977</v>
      </c>
      <c r="F86" s="47">
        <f t="shared" ca="1" si="11"/>
        <v>1259.18</v>
      </c>
      <c r="G86" s="47">
        <f t="shared" ca="1" si="12"/>
        <v>217.13</v>
      </c>
      <c r="H86" s="47">
        <f t="shared" ca="1" si="13"/>
        <v>26.95</v>
      </c>
      <c r="I86" s="47">
        <f t="shared" si="14"/>
        <v>350</v>
      </c>
      <c r="J86" s="47"/>
      <c r="K86" s="45">
        <f t="shared" ca="1" si="15"/>
        <v>1503.26</v>
      </c>
      <c r="L86" s="47">
        <f t="shared" si="28"/>
        <v>10</v>
      </c>
      <c r="M86" s="48">
        <f t="shared" ca="1" si="16"/>
        <v>1863.26</v>
      </c>
      <c r="N86" s="58"/>
      <c r="O86" s="20">
        <f t="shared" ca="1" si="29"/>
        <v>0.58614968999999995</v>
      </c>
      <c r="P86" s="24">
        <f t="shared" ca="1" si="30"/>
        <v>1</v>
      </c>
      <c r="Q86" s="22">
        <f t="shared" ca="1" si="26"/>
        <v>1400</v>
      </c>
      <c r="S86" s="25">
        <f t="shared" ca="1" si="23"/>
        <v>217.12720923480126</v>
      </c>
      <c r="T86" s="26">
        <f t="shared" ca="1" si="17"/>
        <v>0</v>
      </c>
      <c r="W86" s="27">
        <f t="shared" ca="1" si="9"/>
        <v>26.95</v>
      </c>
      <c r="X86" s="27"/>
      <c r="Y86" s="14">
        <f t="shared" si="31"/>
        <v>350</v>
      </c>
      <c r="AA86" s="23">
        <f t="shared" ca="1" si="32"/>
        <v>46328</v>
      </c>
      <c r="AB86" s="23">
        <f t="shared" ca="1" si="19"/>
        <v>46328</v>
      </c>
      <c r="AC86" s="23">
        <f t="shared" ca="1" si="20"/>
        <v>46328</v>
      </c>
      <c r="AE86" s="16">
        <v>46</v>
      </c>
      <c r="AF86" s="23">
        <f t="shared" ca="1" si="33"/>
        <v>46328</v>
      </c>
      <c r="AG86" s="23">
        <f t="shared" ca="1" si="24"/>
        <v>46309</v>
      </c>
    </row>
    <row r="87" spans="1:33" x14ac:dyDescent="0.2">
      <c r="A87" s="58"/>
      <c r="B87" s="43">
        <v>47</v>
      </c>
      <c r="C87" s="44">
        <f t="shared" ca="1" si="22"/>
        <v>46358</v>
      </c>
      <c r="D87" s="45">
        <f t="shared" ca="1" si="27"/>
        <v>19278.439999999977</v>
      </c>
      <c r="E87" s="46">
        <f t="shared" ca="1" si="25"/>
        <v>17996.869999999977</v>
      </c>
      <c r="F87" s="47">
        <f t="shared" ca="1" si="11"/>
        <v>1281.57</v>
      </c>
      <c r="G87" s="47">
        <f t="shared" ca="1" si="12"/>
        <v>197.21</v>
      </c>
      <c r="H87" s="47">
        <f t="shared" ca="1" si="13"/>
        <v>24.48</v>
      </c>
      <c r="I87" s="47">
        <f t="shared" si="14"/>
        <v>350</v>
      </c>
      <c r="J87" s="47"/>
      <c r="K87" s="45">
        <f t="shared" ca="1" si="15"/>
        <v>1503.26</v>
      </c>
      <c r="L87" s="47">
        <f t="shared" si="28"/>
        <v>10</v>
      </c>
      <c r="M87" s="48">
        <f t="shared" ca="1" si="16"/>
        <v>1863.26</v>
      </c>
      <c r="N87" s="58"/>
      <c r="O87" s="20">
        <f t="shared" ca="1" si="29"/>
        <v>0.57947846000000003</v>
      </c>
      <c r="P87" s="24">
        <f t="shared" ca="1" si="30"/>
        <v>1</v>
      </c>
      <c r="Q87" s="22">
        <f t="shared" ca="1" si="26"/>
        <v>1430</v>
      </c>
      <c r="S87" s="25">
        <f t="shared" ca="1" si="23"/>
        <v>197.20675714975471</v>
      </c>
      <c r="T87" s="26">
        <f t="shared" ca="1" si="17"/>
        <v>0</v>
      </c>
      <c r="W87" s="27">
        <f t="shared" ca="1" si="9"/>
        <v>24.48</v>
      </c>
      <c r="X87" s="27"/>
      <c r="Y87" s="14">
        <f t="shared" si="31"/>
        <v>350</v>
      </c>
      <c r="AA87" s="23">
        <f t="shared" ca="1" si="32"/>
        <v>46358</v>
      </c>
      <c r="AB87" s="23">
        <f t="shared" ca="1" si="19"/>
        <v>46358</v>
      </c>
      <c r="AC87" s="23">
        <f t="shared" ca="1" si="20"/>
        <v>46358</v>
      </c>
      <c r="AE87" s="16">
        <v>47</v>
      </c>
      <c r="AF87" s="23">
        <f t="shared" ca="1" si="33"/>
        <v>46358</v>
      </c>
      <c r="AG87" s="23">
        <f t="shared" ca="1" si="24"/>
        <v>46339</v>
      </c>
    </row>
    <row r="88" spans="1:33" x14ac:dyDescent="0.2">
      <c r="A88" s="58"/>
      <c r="B88" s="43">
        <v>48</v>
      </c>
      <c r="C88" s="44">
        <f t="shared" ca="1" si="22"/>
        <v>46389</v>
      </c>
      <c r="D88" s="45">
        <f t="shared" ca="1" si="27"/>
        <v>17996.869999999977</v>
      </c>
      <c r="E88" s="46">
        <f t="shared" ca="1" si="25"/>
        <v>16707.499999999978</v>
      </c>
      <c r="F88" s="47">
        <f t="shared" ca="1" si="11"/>
        <v>1289.3700000000001</v>
      </c>
      <c r="G88" s="47">
        <f t="shared" ca="1" si="12"/>
        <v>190.27</v>
      </c>
      <c r="H88" s="47">
        <f t="shared" ca="1" si="13"/>
        <v>23.62</v>
      </c>
      <c r="I88" s="47">
        <f t="shared" si="14"/>
        <v>350</v>
      </c>
      <c r="J88" s="47"/>
      <c r="K88" s="45">
        <f t="shared" ca="1" si="15"/>
        <v>1503.26</v>
      </c>
      <c r="L88" s="47">
        <f t="shared" si="28"/>
        <v>10</v>
      </c>
      <c r="M88" s="48">
        <f t="shared" ca="1" si="16"/>
        <v>1863.26</v>
      </c>
      <c r="N88" s="58"/>
      <c r="O88" s="20">
        <f t="shared" ca="1" si="29"/>
        <v>0.57266459999999997</v>
      </c>
      <c r="P88" s="24">
        <f t="shared" ca="1" si="30"/>
        <v>1</v>
      </c>
      <c r="Q88" s="22">
        <f t="shared" ca="1" si="26"/>
        <v>1461</v>
      </c>
      <c r="S88" s="25">
        <f t="shared" ca="1" si="23"/>
        <v>190.26596840634491</v>
      </c>
      <c r="T88" s="26">
        <f t="shared" ca="1" si="17"/>
        <v>0</v>
      </c>
      <c r="W88" s="27">
        <f t="shared" ca="1" si="9"/>
        <v>23.62</v>
      </c>
      <c r="X88" s="27"/>
      <c r="Y88" s="14">
        <f t="shared" si="31"/>
        <v>350</v>
      </c>
      <c r="AA88" s="23">
        <f t="shared" ca="1" si="32"/>
        <v>46389</v>
      </c>
      <c r="AB88" s="23">
        <f t="shared" ca="1" si="19"/>
        <v>46389</v>
      </c>
      <c r="AC88" s="23">
        <f t="shared" ca="1" si="20"/>
        <v>46389</v>
      </c>
      <c r="AE88" s="16">
        <v>48</v>
      </c>
      <c r="AF88" s="23">
        <f t="shared" ca="1" si="33"/>
        <v>46389</v>
      </c>
      <c r="AG88" s="23">
        <f t="shared" ca="1" si="24"/>
        <v>46369</v>
      </c>
    </row>
    <row r="89" spans="1:33" x14ac:dyDescent="0.2">
      <c r="A89" s="58"/>
      <c r="B89" s="43">
        <v>49</v>
      </c>
      <c r="C89" s="44">
        <f t="shared" ca="1" si="22"/>
        <v>46420</v>
      </c>
      <c r="D89" s="45">
        <f t="shared" ca="1" si="27"/>
        <v>16707.499999999978</v>
      </c>
      <c r="E89" s="46">
        <f t="shared" ca="1" si="25"/>
        <v>15402.799999999977</v>
      </c>
      <c r="F89" s="47">
        <f t="shared" ca="1" si="11"/>
        <v>1304.7</v>
      </c>
      <c r="G89" s="47">
        <f t="shared" ca="1" si="12"/>
        <v>176.63</v>
      </c>
      <c r="H89" s="47">
        <f t="shared" ca="1" si="13"/>
        <v>21.93</v>
      </c>
      <c r="I89" s="47">
        <f t="shared" si="14"/>
        <v>350</v>
      </c>
      <c r="J89" s="47"/>
      <c r="K89" s="47">
        <f t="shared" ca="1" si="15"/>
        <v>1503.26</v>
      </c>
      <c r="L89" s="47">
        <f t="shared" si="28"/>
        <v>10</v>
      </c>
      <c r="M89" s="48">
        <f t="shared" ca="1" si="16"/>
        <v>1863.26</v>
      </c>
      <c r="N89" s="58"/>
      <c r="O89" s="20">
        <f t="shared" ca="1" si="29"/>
        <v>0.56593086999999997</v>
      </c>
      <c r="P89" s="24">
        <f t="shared" ca="1" si="30"/>
        <v>1</v>
      </c>
      <c r="Q89" s="22">
        <f t="shared" ca="1" si="26"/>
        <v>1492</v>
      </c>
      <c r="S89" s="25">
        <f t="shared" ca="1" si="23"/>
        <v>176.63452962370721</v>
      </c>
      <c r="T89" s="26">
        <f t="shared" ca="1" si="17"/>
        <v>0</v>
      </c>
      <c r="W89" s="27">
        <f t="shared" ref="W89:W112" ca="1" si="34">ROUND(IF(B89&lt;=$E$23,D89*((1+$G$22)^(Q89-Q88) -1),0),2)</f>
        <v>21.93</v>
      </c>
      <c r="X89" s="27"/>
      <c r="Y89" s="14">
        <f t="shared" si="31"/>
        <v>350</v>
      </c>
      <c r="AA89" s="23">
        <f t="shared" ca="1" si="32"/>
        <v>46420</v>
      </c>
      <c r="AB89" s="23">
        <f t="shared" ref="AB89:AB112" ca="1" si="35">IF($G$15=31,DATE(YEAR(AB88),MONTH(AB88)+2,0),AA89)</f>
        <v>46420</v>
      </c>
      <c r="AC89" s="23">
        <f t="shared" ca="1" si="20"/>
        <v>46420</v>
      </c>
      <c r="AE89" s="16">
        <v>49</v>
      </c>
      <c r="AF89" s="23">
        <f t="shared" ca="1" si="33"/>
        <v>46420</v>
      </c>
      <c r="AG89" s="23">
        <f t="shared" ca="1" si="24"/>
        <v>46399</v>
      </c>
    </row>
    <row r="90" spans="1:33" x14ac:dyDescent="0.2">
      <c r="A90" s="58"/>
      <c r="B90" s="43">
        <v>50</v>
      </c>
      <c r="C90" s="44">
        <f t="shared" ca="1" si="22"/>
        <v>46448</v>
      </c>
      <c r="D90" s="45">
        <f t="shared" ca="1" si="27"/>
        <v>15402.799999999977</v>
      </c>
      <c r="E90" s="46">
        <f t="shared" ca="1" si="25"/>
        <v>14064.809999999978</v>
      </c>
      <c r="F90" s="47">
        <f t="shared" ca="1" si="11"/>
        <v>1337.99</v>
      </c>
      <c r="G90" s="47">
        <f t="shared" ca="1" si="12"/>
        <v>147.01</v>
      </c>
      <c r="H90" s="47">
        <f t="shared" ca="1" si="13"/>
        <v>18.260000000000002</v>
      </c>
      <c r="I90" s="47">
        <f t="shared" si="14"/>
        <v>350</v>
      </c>
      <c r="J90" s="47"/>
      <c r="K90" s="47">
        <f t="shared" ca="1" si="15"/>
        <v>1503.26</v>
      </c>
      <c r="L90" s="47">
        <f t="shared" si="28"/>
        <v>10</v>
      </c>
      <c r="M90" s="48">
        <f t="shared" ca="1" si="16"/>
        <v>1863.26</v>
      </c>
      <c r="N90" s="58"/>
      <c r="O90" s="20">
        <f t="shared" ca="1" si="29"/>
        <v>0.55991687999999995</v>
      </c>
      <c r="P90" s="24">
        <f t="shared" ca="1" si="30"/>
        <v>1</v>
      </c>
      <c r="Q90" s="22">
        <f t="shared" ca="1" si="26"/>
        <v>1520</v>
      </c>
      <c r="S90" s="25">
        <f t="shared" ca="1" si="23"/>
        <v>147.00725947367576</v>
      </c>
      <c r="T90" s="26">
        <f t="shared" ca="1" si="17"/>
        <v>0</v>
      </c>
      <c r="W90" s="27">
        <f t="shared" ca="1" si="34"/>
        <v>18.260000000000002</v>
      </c>
      <c r="X90" s="27"/>
      <c r="Y90" s="14">
        <f t="shared" si="31"/>
        <v>350</v>
      </c>
      <c r="AA90" s="23">
        <f t="shared" ca="1" si="32"/>
        <v>46448</v>
      </c>
      <c r="AB90" s="23">
        <f t="shared" ca="1" si="35"/>
        <v>46448</v>
      </c>
      <c r="AC90" s="23">
        <f t="shared" ca="1" si="20"/>
        <v>46448</v>
      </c>
      <c r="AE90" s="16">
        <v>50</v>
      </c>
      <c r="AF90" s="23">
        <f t="shared" ca="1" si="33"/>
        <v>46448</v>
      </c>
      <c r="AG90" s="23">
        <f t="shared" ca="1" si="24"/>
        <v>46429</v>
      </c>
    </row>
    <row r="91" spans="1:33" x14ac:dyDescent="0.2">
      <c r="A91" s="58"/>
      <c r="B91" s="43">
        <v>51</v>
      </c>
      <c r="C91" s="44">
        <f t="shared" ca="1" si="22"/>
        <v>46479</v>
      </c>
      <c r="D91" s="45">
        <f t="shared" ca="1" si="27"/>
        <v>14064.809999999978</v>
      </c>
      <c r="E91" s="46">
        <f t="shared" ca="1" si="25"/>
        <v>12728.709999999977</v>
      </c>
      <c r="F91" s="47">
        <f t="shared" ca="1" si="11"/>
        <v>1336.1</v>
      </c>
      <c r="G91" s="47">
        <f t="shared" ca="1" si="12"/>
        <v>148.69999999999999</v>
      </c>
      <c r="H91" s="47">
        <f t="shared" ca="1" si="13"/>
        <v>18.46</v>
      </c>
      <c r="I91" s="47">
        <f t="shared" si="14"/>
        <v>350</v>
      </c>
      <c r="J91" s="47"/>
      <c r="K91" s="47">
        <f t="shared" ca="1" si="15"/>
        <v>1503.26</v>
      </c>
      <c r="L91" s="47">
        <f t="shared" si="28"/>
        <v>10</v>
      </c>
      <c r="M91" s="48">
        <f t="shared" ca="1" si="16"/>
        <v>1863.26</v>
      </c>
      <c r="N91" s="58"/>
      <c r="O91" s="20">
        <f t="shared" ca="1" si="29"/>
        <v>0.55333304000000005</v>
      </c>
      <c r="P91" s="24">
        <f t="shared" ca="1" si="30"/>
        <v>1</v>
      </c>
      <c r="Q91" s="22">
        <f t="shared" ca="1" si="26"/>
        <v>1551</v>
      </c>
      <c r="S91" s="25">
        <f t="shared" ca="1" si="23"/>
        <v>148.69556178942466</v>
      </c>
      <c r="T91" s="26">
        <f t="shared" ca="1" si="17"/>
        <v>0</v>
      </c>
      <c r="W91" s="27">
        <f t="shared" ca="1" si="34"/>
        <v>18.46</v>
      </c>
      <c r="X91" s="27"/>
      <c r="Y91" s="14">
        <f t="shared" si="31"/>
        <v>350</v>
      </c>
      <c r="AA91" s="23">
        <f t="shared" ca="1" si="32"/>
        <v>46479</v>
      </c>
      <c r="AB91" s="23">
        <f t="shared" ca="1" si="35"/>
        <v>46479</v>
      </c>
      <c r="AC91" s="23">
        <f t="shared" ca="1" si="20"/>
        <v>46479</v>
      </c>
      <c r="AE91" s="16">
        <v>51</v>
      </c>
      <c r="AF91" s="23">
        <f t="shared" ca="1" si="33"/>
        <v>46479</v>
      </c>
      <c r="AG91" s="23">
        <f t="shared" ca="1" si="24"/>
        <v>46459</v>
      </c>
    </row>
    <row r="92" spans="1:33" x14ac:dyDescent="0.2">
      <c r="A92" s="58"/>
      <c r="B92" s="43">
        <v>52</v>
      </c>
      <c r="C92" s="44">
        <f t="shared" ca="1" si="22"/>
        <v>46509</v>
      </c>
      <c r="D92" s="45">
        <f t="shared" ca="1" si="27"/>
        <v>12728.709999999977</v>
      </c>
      <c r="E92" s="46">
        <f t="shared" ca="1" si="25"/>
        <v>11371.829999999978</v>
      </c>
      <c r="F92" s="47">
        <f t="shared" ca="1" si="11"/>
        <v>1356.8799999999999</v>
      </c>
      <c r="G92" s="47">
        <f t="shared" ca="1" si="12"/>
        <v>130.21</v>
      </c>
      <c r="H92" s="47">
        <f t="shared" ca="1" si="13"/>
        <v>16.170000000000002</v>
      </c>
      <c r="I92" s="47">
        <f t="shared" si="14"/>
        <v>350</v>
      </c>
      <c r="J92" s="47"/>
      <c r="K92" s="47">
        <f t="shared" ca="1" si="15"/>
        <v>1503.26</v>
      </c>
      <c r="L92" s="47">
        <f t="shared" si="28"/>
        <v>10</v>
      </c>
      <c r="M92" s="48">
        <f t="shared" ca="1" si="16"/>
        <v>1863.26</v>
      </c>
      <c r="N92" s="58"/>
      <c r="O92" s="20">
        <f t="shared" ca="1" si="29"/>
        <v>0.54703531000000005</v>
      </c>
      <c r="P92" s="24">
        <f t="shared" ca="1" si="30"/>
        <v>1</v>
      </c>
      <c r="Q92" s="22">
        <f t="shared" ca="1" si="26"/>
        <v>1581</v>
      </c>
      <c r="S92" s="25">
        <f t="shared" ca="1" si="23"/>
        <v>130.20698883310334</v>
      </c>
      <c r="T92" s="26">
        <f t="shared" ca="1" si="17"/>
        <v>0</v>
      </c>
      <c r="W92" s="27">
        <f t="shared" ca="1" si="34"/>
        <v>16.170000000000002</v>
      </c>
      <c r="X92" s="27"/>
      <c r="Y92" s="14">
        <f t="shared" si="31"/>
        <v>350</v>
      </c>
      <c r="AA92" s="23">
        <f t="shared" ca="1" si="32"/>
        <v>46509</v>
      </c>
      <c r="AB92" s="23">
        <f t="shared" ca="1" si="35"/>
        <v>46509</v>
      </c>
      <c r="AC92" s="23">
        <f t="shared" ca="1" si="20"/>
        <v>46509</v>
      </c>
      <c r="AE92" s="16">
        <v>52</v>
      </c>
      <c r="AF92" s="23">
        <f t="shared" ca="1" si="33"/>
        <v>46509</v>
      </c>
      <c r="AG92" s="23">
        <f t="shared" ca="1" si="24"/>
        <v>46489</v>
      </c>
    </row>
    <row r="93" spans="1:33" x14ac:dyDescent="0.2">
      <c r="A93" s="58"/>
      <c r="B93" s="43">
        <v>53</v>
      </c>
      <c r="C93" s="44">
        <f t="shared" ca="1" si="22"/>
        <v>46540</v>
      </c>
      <c r="D93" s="45">
        <f t="shared" ca="1" si="27"/>
        <v>11371.829999999978</v>
      </c>
      <c r="E93" s="46">
        <f t="shared" ca="1" si="25"/>
        <v>10003.709999999977</v>
      </c>
      <c r="F93" s="47">
        <f t="shared" ca="1" si="11"/>
        <v>1368.12</v>
      </c>
      <c r="G93" s="47">
        <f t="shared" ca="1" si="12"/>
        <v>120.22</v>
      </c>
      <c r="H93" s="47">
        <f t="shared" ca="1" si="13"/>
        <v>14.92</v>
      </c>
      <c r="I93" s="47">
        <f t="shared" si="14"/>
        <v>350</v>
      </c>
      <c r="J93" s="47"/>
      <c r="K93" s="47">
        <f t="shared" ca="1" si="15"/>
        <v>1503.26</v>
      </c>
      <c r="L93" s="47">
        <f t="shared" si="28"/>
        <v>10</v>
      </c>
      <c r="M93" s="48">
        <f t="shared" ca="1" si="16"/>
        <v>1863.26</v>
      </c>
      <c r="N93" s="58"/>
      <c r="O93" s="20">
        <f t="shared" ca="1" si="29"/>
        <v>0.54060293999999998</v>
      </c>
      <c r="P93" s="24">
        <f t="shared" ca="1" si="30"/>
        <v>1</v>
      </c>
      <c r="Q93" s="22">
        <f t="shared" ca="1" si="26"/>
        <v>1612</v>
      </c>
      <c r="S93" s="25">
        <f t="shared" ca="1" si="23"/>
        <v>120.22491952780254</v>
      </c>
      <c r="T93" s="26">
        <f t="shared" ca="1" si="17"/>
        <v>0</v>
      </c>
      <c r="W93" s="27">
        <f t="shared" ca="1" si="34"/>
        <v>14.92</v>
      </c>
      <c r="X93" s="27"/>
      <c r="Y93" s="14">
        <f t="shared" si="31"/>
        <v>350</v>
      </c>
      <c r="AA93" s="23">
        <f t="shared" ca="1" si="32"/>
        <v>46540</v>
      </c>
      <c r="AB93" s="23">
        <f t="shared" ca="1" si="35"/>
        <v>46540</v>
      </c>
      <c r="AC93" s="23">
        <f t="shared" ca="1" si="20"/>
        <v>46540</v>
      </c>
      <c r="AE93" s="16">
        <v>53</v>
      </c>
      <c r="AF93" s="23">
        <f t="shared" ca="1" si="33"/>
        <v>46540</v>
      </c>
      <c r="AG93" s="23">
        <f t="shared" ca="1" si="24"/>
        <v>46519</v>
      </c>
    </row>
    <row r="94" spans="1:33" x14ac:dyDescent="0.2">
      <c r="A94" s="58"/>
      <c r="B94" s="43">
        <v>54</v>
      </c>
      <c r="C94" s="44">
        <f t="shared" ca="1" si="22"/>
        <v>46570</v>
      </c>
      <c r="D94" s="45">
        <f t="shared" ca="1" si="27"/>
        <v>10003.709999999977</v>
      </c>
      <c r="E94" s="46">
        <f t="shared" ca="1" si="25"/>
        <v>8615.4799999999777</v>
      </c>
      <c r="F94" s="47">
        <f t="shared" ca="1" si="11"/>
        <v>1388.23</v>
      </c>
      <c r="G94" s="47">
        <f t="shared" ca="1" si="12"/>
        <v>102.33</v>
      </c>
      <c r="H94" s="47">
        <f t="shared" ca="1" si="13"/>
        <v>12.7</v>
      </c>
      <c r="I94" s="47">
        <f t="shared" si="14"/>
        <v>350</v>
      </c>
      <c r="J94" s="47"/>
      <c r="K94" s="47">
        <f t="shared" ca="1" si="15"/>
        <v>1503.26</v>
      </c>
      <c r="L94" s="47">
        <f t="shared" si="28"/>
        <v>10</v>
      </c>
      <c r="M94" s="48">
        <f t="shared" ca="1" si="16"/>
        <v>1863.26</v>
      </c>
      <c r="N94" s="58"/>
      <c r="O94" s="20">
        <f t="shared" ca="1" si="29"/>
        <v>0.53445010000000004</v>
      </c>
      <c r="P94" s="24">
        <f t="shared" ca="1" si="30"/>
        <v>1</v>
      </c>
      <c r="Q94" s="22">
        <f t="shared" ca="1" si="26"/>
        <v>1642</v>
      </c>
      <c r="S94" s="25">
        <f t="shared" ca="1" si="23"/>
        <v>102.33189036906361</v>
      </c>
      <c r="T94" s="26">
        <f t="shared" ca="1" si="17"/>
        <v>0</v>
      </c>
      <c r="W94" s="27">
        <f t="shared" ca="1" si="34"/>
        <v>12.7</v>
      </c>
      <c r="X94" s="27"/>
      <c r="Y94" s="14">
        <f t="shared" si="31"/>
        <v>350</v>
      </c>
      <c r="AA94" s="23">
        <f t="shared" ca="1" si="32"/>
        <v>46570</v>
      </c>
      <c r="AB94" s="23">
        <f t="shared" ca="1" si="35"/>
        <v>46570</v>
      </c>
      <c r="AC94" s="23">
        <f t="shared" ca="1" si="20"/>
        <v>46570</v>
      </c>
      <c r="AE94" s="16">
        <v>54</v>
      </c>
      <c r="AF94" s="23">
        <f t="shared" ca="1" si="33"/>
        <v>46570</v>
      </c>
      <c r="AG94" s="23">
        <f t="shared" ca="1" si="24"/>
        <v>46549</v>
      </c>
    </row>
    <row r="95" spans="1:33" x14ac:dyDescent="0.2">
      <c r="A95" s="58"/>
      <c r="B95" s="43">
        <v>55</v>
      </c>
      <c r="C95" s="44">
        <f t="shared" ca="1" si="22"/>
        <v>46601</v>
      </c>
      <c r="D95" s="45">
        <f t="shared" ca="1" si="27"/>
        <v>8615.4799999999777</v>
      </c>
      <c r="E95" s="46">
        <f t="shared" ca="1" si="25"/>
        <v>7214.6099999999778</v>
      </c>
      <c r="F95" s="47">
        <f t="shared" ca="1" si="11"/>
        <v>1400.8700000000001</v>
      </c>
      <c r="G95" s="47">
        <f t="shared" ca="1" si="12"/>
        <v>91.08</v>
      </c>
      <c r="H95" s="47">
        <f t="shared" ca="1" si="13"/>
        <v>11.31</v>
      </c>
      <c r="I95" s="47">
        <f t="shared" si="14"/>
        <v>350</v>
      </c>
      <c r="J95" s="47"/>
      <c r="K95" s="47">
        <f t="shared" ca="1" si="15"/>
        <v>1503.26</v>
      </c>
      <c r="L95" s="47">
        <f t="shared" si="28"/>
        <v>10</v>
      </c>
      <c r="M95" s="48">
        <f t="shared" ca="1" si="16"/>
        <v>1863.26</v>
      </c>
      <c r="N95" s="58"/>
      <c r="O95" s="20">
        <f t="shared" ca="1" si="29"/>
        <v>0.52816571000000001</v>
      </c>
      <c r="P95" s="24">
        <f t="shared" ca="1" si="30"/>
        <v>1</v>
      </c>
      <c r="Q95" s="22">
        <f t="shared" ca="1" si="26"/>
        <v>1673</v>
      </c>
      <c r="S95" s="25">
        <f t="shared" ca="1" si="23"/>
        <v>91.084318855750709</v>
      </c>
      <c r="T95" s="26">
        <f t="shared" ca="1" si="17"/>
        <v>0</v>
      </c>
      <c r="W95" s="27">
        <f t="shared" ca="1" si="34"/>
        <v>11.31</v>
      </c>
      <c r="X95" s="27"/>
      <c r="Y95" s="14">
        <f t="shared" si="31"/>
        <v>350</v>
      </c>
      <c r="AA95" s="23">
        <f t="shared" ca="1" si="32"/>
        <v>46601</v>
      </c>
      <c r="AB95" s="23">
        <f t="shared" ca="1" si="35"/>
        <v>46601</v>
      </c>
      <c r="AC95" s="23">
        <f t="shared" ca="1" si="20"/>
        <v>46601</v>
      </c>
      <c r="AE95" s="16">
        <v>55</v>
      </c>
      <c r="AF95" s="23">
        <f t="shared" ca="1" si="33"/>
        <v>46601</v>
      </c>
      <c r="AG95" s="23">
        <f t="shared" ca="1" si="24"/>
        <v>46579</v>
      </c>
    </row>
    <row r="96" spans="1:33" x14ac:dyDescent="0.2">
      <c r="A96" s="58"/>
      <c r="B96" s="43">
        <v>56</v>
      </c>
      <c r="C96" s="44">
        <f t="shared" ca="1" si="22"/>
        <v>46632</v>
      </c>
      <c r="D96" s="45">
        <f t="shared" ca="1" si="27"/>
        <v>7214.6099999999778</v>
      </c>
      <c r="E96" s="46">
        <f t="shared" ca="1" si="25"/>
        <v>5797.0899999999783</v>
      </c>
      <c r="F96" s="47">
        <f t="shared" ca="1" si="11"/>
        <v>1417.52</v>
      </c>
      <c r="G96" s="47">
        <f t="shared" ca="1" si="12"/>
        <v>76.27</v>
      </c>
      <c r="H96" s="47">
        <f t="shared" ca="1" si="13"/>
        <v>9.4700000000000006</v>
      </c>
      <c r="I96" s="47">
        <f t="shared" si="14"/>
        <v>350</v>
      </c>
      <c r="J96" s="47"/>
      <c r="K96" s="47">
        <f t="shared" ca="1" si="15"/>
        <v>1503.26</v>
      </c>
      <c r="L96" s="47">
        <f t="shared" si="28"/>
        <v>10</v>
      </c>
      <c r="M96" s="48">
        <f t="shared" ca="1" si="16"/>
        <v>1863.26</v>
      </c>
      <c r="N96" s="58"/>
      <c r="O96" s="20">
        <f t="shared" ca="1" si="29"/>
        <v>0.52195522999999999</v>
      </c>
      <c r="P96" s="24">
        <f t="shared" ca="1" si="30"/>
        <v>1</v>
      </c>
      <c r="Q96" s="22">
        <f t="shared" ca="1" si="26"/>
        <v>1704</v>
      </c>
      <c r="S96" s="25">
        <f t="shared" ca="1" si="23"/>
        <v>76.274083122459487</v>
      </c>
      <c r="T96" s="26">
        <f t="shared" ca="1" si="17"/>
        <v>0</v>
      </c>
      <c r="W96" s="27">
        <f t="shared" ca="1" si="34"/>
        <v>9.4700000000000006</v>
      </c>
      <c r="X96" s="27"/>
      <c r="Y96" s="14">
        <f t="shared" si="31"/>
        <v>350</v>
      </c>
      <c r="AA96" s="23">
        <f t="shared" ca="1" si="32"/>
        <v>46632</v>
      </c>
      <c r="AB96" s="23">
        <f t="shared" ca="1" si="35"/>
        <v>46632</v>
      </c>
      <c r="AC96" s="23">
        <f t="shared" ca="1" si="20"/>
        <v>46632</v>
      </c>
      <c r="AE96" s="16">
        <v>56</v>
      </c>
      <c r="AF96" s="23">
        <f t="shared" ca="1" si="33"/>
        <v>46632</v>
      </c>
      <c r="AG96" s="23">
        <f t="shared" ca="1" si="24"/>
        <v>46609</v>
      </c>
    </row>
    <row r="97" spans="1:33" x14ac:dyDescent="0.2">
      <c r="A97" s="58"/>
      <c r="B97" s="43">
        <v>57</v>
      </c>
      <c r="C97" s="44">
        <f t="shared" ca="1" si="22"/>
        <v>46662</v>
      </c>
      <c r="D97" s="45">
        <f t="shared" ca="1" si="27"/>
        <v>5797.0899999999783</v>
      </c>
      <c r="E97" s="46">
        <f t="shared" ca="1" si="25"/>
        <v>4360.489999999978</v>
      </c>
      <c r="F97" s="47">
        <f t="shared" ca="1" si="11"/>
        <v>1436.6000000000001</v>
      </c>
      <c r="G97" s="47">
        <f t="shared" ca="1" si="12"/>
        <v>59.3</v>
      </c>
      <c r="H97" s="47">
        <f t="shared" ca="1" si="13"/>
        <v>7.36</v>
      </c>
      <c r="I97" s="47">
        <f t="shared" si="14"/>
        <v>350</v>
      </c>
      <c r="J97" s="47"/>
      <c r="K97" s="47">
        <f t="shared" ca="1" si="15"/>
        <v>1503.26</v>
      </c>
      <c r="L97" s="47">
        <f t="shared" si="28"/>
        <v>10</v>
      </c>
      <c r="M97" s="48">
        <f t="shared" ca="1" si="16"/>
        <v>1863.26</v>
      </c>
      <c r="N97" s="58"/>
      <c r="O97" s="20">
        <f t="shared" ca="1" si="29"/>
        <v>0.51601461999999998</v>
      </c>
      <c r="P97" s="24">
        <f t="shared" ca="1" si="30"/>
        <v>1</v>
      </c>
      <c r="Q97" s="22">
        <f t="shared" ca="1" si="26"/>
        <v>1734</v>
      </c>
      <c r="S97" s="25">
        <f t="shared" ca="1" si="23"/>
        <v>59.300717267853038</v>
      </c>
      <c r="T97" s="26">
        <f t="shared" ca="1" si="17"/>
        <v>0</v>
      </c>
      <c r="W97" s="27">
        <f t="shared" ca="1" si="34"/>
        <v>7.36</v>
      </c>
      <c r="X97" s="27"/>
      <c r="Y97" s="14">
        <f t="shared" si="31"/>
        <v>350</v>
      </c>
      <c r="AA97" s="23">
        <f t="shared" ca="1" si="32"/>
        <v>46662</v>
      </c>
      <c r="AB97" s="23">
        <f t="shared" ca="1" si="35"/>
        <v>46662</v>
      </c>
      <c r="AC97" s="23">
        <f t="shared" ca="1" si="20"/>
        <v>46662</v>
      </c>
      <c r="AE97" s="16">
        <v>57</v>
      </c>
      <c r="AF97" s="23">
        <f t="shared" ca="1" si="33"/>
        <v>46662</v>
      </c>
      <c r="AG97" s="23">
        <f t="shared" ca="1" si="24"/>
        <v>46639</v>
      </c>
    </row>
    <row r="98" spans="1:33" x14ac:dyDescent="0.2">
      <c r="A98" s="58"/>
      <c r="B98" s="43">
        <v>58</v>
      </c>
      <c r="C98" s="44">
        <f t="shared" ca="1" si="22"/>
        <v>46693</v>
      </c>
      <c r="D98" s="45">
        <f t="shared" ca="1" si="27"/>
        <v>4360.489999999978</v>
      </c>
      <c r="E98" s="46">
        <f t="shared" ca="1" si="25"/>
        <v>2909.0499999999779</v>
      </c>
      <c r="F98" s="47">
        <f t="shared" ca="1" si="11"/>
        <v>1451.44</v>
      </c>
      <c r="G98" s="47">
        <f t="shared" ca="1" si="12"/>
        <v>46.1</v>
      </c>
      <c r="H98" s="47">
        <f t="shared" ca="1" si="13"/>
        <v>5.72</v>
      </c>
      <c r="I98" s="47">
        <f t="shared" si="14"/>
        <v>350</v>
      </c>
      <c r="J98" s="47"/>
      <c r="K98" s="47">
        <f t="shared" ca="1" si="15"/>
        <v>1503.26</v>
      </c>
      <c r="L98" s="47">
        <f t="shared" si="28"/>
        <v>10</v>
      </c>
      <c r="M98" s="48">
        <f t="shared" ca="1" si="16"/>
        <v>1863.26</v>
      </c>
      <c r="N98" s="58"/>
      <c r="O98" s="20">
        <f t="shared" ca="1" si="29"/>
        <v>0.50994700999999998</v>
      </c>
      <c r="P98" s="24">
        <f t="shared" ca="1" si="30"/>
        <v>1</v>
      </c>
      <c r="Q98" s="22">
        <f t="shared" ca="1" si="26"/>
        <v>1765</v>
      </c>
      <c r="S98" s="25">
        <f t="shared" ca="1" si="23"/>
        <v>46.09984139331894</v>
      </c>
      <c r="T98" s="26">
        <f t="shared" ca="1" si="17"/>
        <v>0</v>
      </c>
      <c r="W98" s="27">
        <f t="shared" ca="1" si="34"/>
        <v>5.72</v>
      </c>
      <c r="X98" s="27"/>
      <c r="Y98" s="14">
        <f t="shared" si="31"/>
        <v>350</v>
      </c>
      <c r="AA98" s="23">
        <f t="shared" ca="1" si="32"/>
        <v>46693</v>
      </c>
      <c r="AB98" s="23">
        <f t="shared" ca="1" si="35"/>
        <v>46693</v>
      </c>
      <c r="AC98" s="23">
        <f t="shared" ca="1" si="20"/>
        <v>46693</v>
      </c>
      <c r="AE98" s="16">
        <v>58</v>
      </c>
      <c r="AF98" s="23">
        <f t="shared" ca="1" si="33"/>
        <v>46693</v>
      </c>
      <c r="AG98" s="23">
        <f t="shared" ca="1" si="24"/>
        <v>46669</v>
      </c>
    </row>
    <row r="99" spans="1:33" x14ac:dyDescent="0.2">
      <c r="A99" s="58"/>
      <c r="B99" s="43">
        <v>59</v>
      </c>
      <c r="C99" s="44">
        <f t="shared" ca="1" si="22"/>
        <v>46723</v>
      </c>
      <c r="D99" s="45">
        <f t="shared" ca="1" si="27"/>
        <v>2909.0499999999779</v>
      </c>
      <c r="E99" s="46">
        <f t="shared" ca="1" si="25"/>
        <v>1439.239999999978</v>
      </c>
      <c r="F99" s="47">
        <f t="shared" ca="1" si="11"/>
        <v>1469.81</v>
      </c>
      <c r="G99" s="47">
        <f t="shared" ca="1" si="12"/>
        <v>29.76</v>
      </c>
      <c r="H99" s="47">
        <f t="shared" ca="1" si="13"/>
        <v>3.69</v>
      </c>
      <c r="I99" s="47">
        <f t="shared" si="14"/>
        <v>350</v>
      </c>
      <c r="J99" s="47"/>
      <c r="K99" s="47">
        <f t="shared" ca="1" si="15"/>
        <v>1503.26</v>
      </c>
      <c r="L99" s="47">
        <f t="shared" si="28"/>
        <v>10</v>
      </c>
      <c r="M99" s="48">
        <f t="shared" ca="1" si="16"/>
        <v>1863.26</v>
      </c>
      <c r="N99" s="58"/>
      <c r="O99" s="20">
        <f t="shared" ca="1" si="29"/>
        <v>0.50414307999999997</v>
      </c>
      <c r="P99" s="24">
        <f t="shared" ca="1" si="30"/>
        <v>1</v>
      </c>
      <c r="Q99" s="22">
        <f t="shared" ca="1" si="26"/>
        <v>1795</v>
      </c>
      <c r="S99" s="25">
        <f t="shared" ca="1" si="23"/>
        <v>29.757818417179518</v>
      </c>
      <c r="T99" s="26">
        <f t="shared" ca="1" si="17"/>
        <v>0</v>
      </c>
      <c r="W99" s="27">
        <f t="shared" ca="1" si="34"/>
        <v>3.69</v>
      </c>
      <c r="X99" s="27"/>
      <c r="Y99" s="14">
        <f t="shared" si="31"/>
        <v>350</v>
      </c>
      <c r="AA99" s="23">
        <f t="shared" ca="1" si="32"/>
        <v>46723</v>
      </c>
      <c r="AB99" s="23">
        <f t="shared" ca="1" si="35"/>
        <v>46723</v>
      </c>
      <c r="AC99" s="23">
        <f t="shared" ca="1" si="20"/>
        <v>46723</v>
      </c>
      <c r="AE99" s="16">
        <v>59</v>
      </c>
      <c r="AF99" s="23">
        <f t="shared" ca="1" si="33"/>
        <v>46723</v>
      </c>
      <c r="AG99" s="23">
        <f t="shared" ca="1" si="24"/>
        <v>46699</v>
      </c>
    </row>
    <row r="100" spans="1:33" x14ac:dyDescent="0.2">
      <c r="A100" s="58"/>
      <c r="B100" s="43">
        <v>60</v>
      </c>
      <c r="C100" s="44">
        <f t="shared" ca="1" si="22"/>
        <v>46754</v>
      </c>
      <c r="D100" s="45">
        <f t="shared" ca="1" si="27"/>
        <v>1439.239999999978</v>
      </c>
      <c r="E100" s="46">
        <f t="shared" ca="1" si="25"/>
        <v>0</v>
      </c>
      <c r="F100" s="47">
        <f t="shared" ca="1" si="11"/>
        <v>1439.239999999978</v>
      </c>
      <c r="G100" s="47">
        <f t="shared" ca="1" si="12"/>
        <v>15.22</v>
      </c>
      <c r="H100" s="47">
        <f t="shared" ca="1" si="13"/>
        <v>1.89</v>
      </c>
      <c r="I100" s="47">
        <f t="shared" si="14"/>
        <v>350</v>
      </c>
      <c r="J100" s="47"/>
      <c r="K100" s="47">
        <f t="shared" ca="1" si="15"/>
        <v>1456.3499999999781</v>
      </c>
      <c r="L100" s="47">
        <f t="shared" si="28"/>
        <v>10</v>
      </c>
      <c r="M100" s="48">
        <f t="shared" ca="1" si="16"/>
        <v>1816.3499999999781</v>
      </c>
      <c r="N100" s="58"/>
      <c r="O100" s="20">
        <f t="shared" ca="1" si="29"/>
        <v>0.49821505999999999</v>
      </c>
      <c r="P100" s="24">
        <f t="shared" ca="1" si="30"/>
        <v>1</v>
      </c>
      <c r="Q100" s="22">
        <f t="shared" ca="1" si="26"/>
        <v>1826</v>
      </c>
      <c r="S100" s="25">
        <f t="shared" ca="1" si="23"/>
        <v>15.215889894695245</v>
      </c>
      <c r="T100" s="26">
        <f t="shared" ca="1" si="17"/>
        <v>0</v>
      </c>
      <c r="W100" s="27">
        <f t="shared" ca="1" si="34"/>
        <v>1.89</v>
      </c>
      <c r="X100" s="27"/>
      <c r="Y100" s="14">
        <f t="shared" si="31"/>
        <v>350</v>
      </c>
      <c r="AA100" s="23">
        <f t="shared" ca="1" si="32"/>
        <v>46754</v>
      </c>
      <c r="AB100" s="23">
        <f t="shared" ca="1" si="35"/>
        <v>46754</v>
      </c>
      <c r="AC100" s="23">
        <f t="shared" ca="1" si="20"/>
        <v>46754</v>
      </c>
      <c r="AE100" s="16">
        <v>60</v>
      </c>
      <c r="AF100" s="23">
        <f t="shared" ca="1" si="33"/>
        <v>46754</v>
      </c>
      <c r="AG100" s="23">
        <f t="shared" ca="1" si="24"/>
        <v>46729</v>
      </c>
    </row>
    <row r="101" spans="1:33" x14ac:dyDescent="0.2">
      <c r="A101" s="58"/>
      <c r="B101" s="43">
        <v>61</v>
      </c>
      <c r="C101" s="44">
        <f t="shared" ca="1" si="22"/>
        <v>46785</v>
      </c>
      <c r="D101" s="45">
        <f t="shared" ca="1" si="27"/>
        <v>0</v>
      </c>
      <c r="E101" s="46">
        <f t="shared" ca="1" si="25"/>
        <v>0</v>
      </c>
      <c r="F101" s="47">
        <f t="shared" ca="1" si="11"/>
        <v>0</v>
      </c>
      <c r="G101" s="47">
        <f t="shared" ca="1" si="12"/>
        <v>0</v>
      </c>
      <c r="H101" s="47">
        <f t="shared" si="13"/>
        <v>0</v>
      </c>
      <c r="I101" s="47">
        <f t="shared" si="14"/>
        <v>0</v>
      </c>
      <c r="J101" s="47"/>
      <c r="K101" s="47">
        <f t="shared" ca="1" si="15"/>
        <v>0</v>
      </c>
      <c r="L101" s="47">
        <f t="shared" si="28"/>
        <v>0</v>
      </c>
      <c r="M101" s="48">
        <f t="shared" ca="1" si="16"/>
        <v>0</v>
      </c>
      <c r="N101" s="58"/>
      <c r="O101" s="20">
        <f t="shared" si="29"/>
        <v>0</v>
      </c>
      <c r="P101" s="24">
        <f t="shared" ca="1" si="30"/>
        <v>1</v>
      </c>
      <c r="Q101" s="22">
        <f t="shared" ca="1" si="26"/>
        <v>1857</v>
      </c>
      <c r="S101" s="25">
        <f t="shared" si="23"/>
        <v>0</v>
      </c>
      <c r="T101" s="26">
        <f t="shared" ca="1" si="17"/>
        <v>0</v>
      </c>
      <c r="W101" s="27">
        <f t="shared" si="34"/>
        <v>0</v>
      </c>
      <c r="X101" s="27"/>
      <c r="Y101" s="14">
        <f t="shared" si="31"/>
        <v>0</v>
      </c>
      <c r="AA101" s="23">
        <f t="shared" ca="1" si="32"/>
        <v>46785</v>
      </c>
      <c r="AB101" s="23">
        <f t="shared" ca="1" si="35"/>
        <v>46785</v>
      </c>
      <c r="AC101" s="23">
        <f t="shared" ca="1" si="20"/>
        <v>46785</v>
      </c>
      <c r="AE101" s="16">
        <v>61</v>
      </c>
      <c r="AF101" s="23">
        <f t="shared" ca="1" si="33"/>
        <v>46785</v>
      </c>
      <c r="AG101" s="23">
        <f t="shared" ca="1" si="24"/>
        <v>46759</v>
      </c>
    </row>
    <row r="102" spans="1:33" x14ac:dyDescent="0.2">
      <c r="A102" s="58"/>
      <c r="B102" s="43">
        <v>62</v>
      </c>
      <c r="C102" s="44">
        <f t="shared" ca="1" si="22"/>
        <v>46814</v>
      </c>
      <c r="D102" s="45">
        <f t="shared" ca="1" si="27"/>
        <v>0</v>
      </c>
      <c r="E102" s="46">
        <f t="shared" ca="1" si="25"/>
        <v>0</v>
      </c>
      <c r="F102" s="47">
        <f t="shared" ca="1" si="11"/>
        <v>0</v>
      </c>
      <c r="G102" s="47">
        <f t="shared" ca="1" si="12"/>
        <v>0</v>
      </c>
      <c r="H102" s="47">
        <f t="shared" si="13"/>
        <v>0</v>
      </c>
      <c r="I102" s="47">
        <f t="shared" si="14"/>
        <v>0</v>
      </c>
      <c r="J102" s="47"/>
      <c r="K102" s="47">
        <f t="shared" ca="1" si="15"/>
        <v>0</v>
      </c>
      <c r="L102" s="47">
        <f t="shared" si="28"/>
        <v>0</v>
      </c>
      <c r="M102" s="48">
        <f t="shared" ca="1" si="16"/>
        <v>0</v>
      </c>
      <c r="N102" s="58"/>
      <c r="O102" s="20">
        <f t="shared" si="29"/>
        <v>0</v>
      </c>
      <c r="P102" s="24">
        <f t="shared" ca="1" si="30"/>
        <v>1</v>
      </c>
      <c r="Q102" s="22">
        <f t="shared" ca="1" si="26"/>
        <v>1886</v>
      </c>
      <c r="S102" s="25">
        <f t="shared" si="23"/>
        <v>0</v>
      </c>
      <c r="T102" s="26">
        <f t="shared" ca="1" si="17"/>
        <v>0</v>
      </c>
      <c r="W102" s="27">
        <f t="shared" si="34"/>
        <v>0</v>
      </c>
      <c r="X102" s="27"/>
      <c r="Y102" s="14">
        <f t="shared" si="31"/>
        <v>0</v>
      </c>
      <c r="AA102" s="23">
        <f t="shared" ca="1" si="32"/>
        <v>46814</v>
      </c>
      <c r="AB102" s="23">
        <f t="shared" ca="1" si="35"/>
        <v>46814</v>
      </c>
      <c r="AC102" s="23">
        <f t="shared" ca="1" si="20"/>
        <v>46814</v>
      </c>
      <c r="AE102" s="16">
        <v>62</v>
      </c>
      <c r="AF102" s="23">
        <f t="shared" ca="1" si="33"/>
        <v>46814</v>
      </c>
      <c r="AG102" s="23">
        <f t="shared" ca="1" si="24"/>
        <v>46789</v>
      </c>
    </row>
    <row r="103" spans="1:33" x14ac:dyDescent="0.2">
      <c r="A103" s="58"/>
      <c r="B103" s="43">
        <v>63</v>
      </c>
      <c r="C103" s="44">
        <f t="shared" ca="1" si="22"/>
        <v>46845</v>
      </c>
      <c r="D103" s="45">
        <f t="shared" ca="1" si="27"/>
        <v>0</v>
      </c>
      <c r="E103" s="46">
        <f t="shared" ca="1" si="25"/>
        <v>0</v>
      </c>
      <c r="F103" s="47">
        <f t="shared" ca="1" si="11"/>
        <v>0</v>
      </c>
      <c r="G103" s="47">
        <f t="shared" ca="1" si="12"/>
        <v>0</v>
      </c>
      <c r="H103" s="47">
        <f t="shared" si="13"/>
        <v>0</v>
      </c>
      <c r="I103" s="47">
        <f t="shared" si="14"/>
        <v>0</v>
      </c>
      <c r="J103" s="47"/>
      <c r="K103" s="47">
        <f t="shared" ca="1" si="15"/>
        <v>0</v>
      </c>
      <c r="L103" s="47">
        <f t="shared" si="28"/>
        <v>0</v>
      </c>
      <c r="M103" s="48">
        <f t="shared" ca="1" si="16"/>
        <v>0</v>
      </c>
      <c r="N103" s="58"/>
      <c r="O103" s="20">
        <f t="shared" si="29"/>
        <v>0</v>
      </c>
      <c r="P103" s="24">
        <f t="shared" ca="1" si="30"/>
        <v>1</v>
      </c>
      <c r="Q103" s="22">
        <f t="shared" ca="1" si="26"/>
        <v>1917</v>
      </c>
      <c r="S103" s="25">
        <f t="shared" si="23"/>
        <v>0</v>
      </c>
      <c r="T103" s="26">
        <f t="shared" ca="1" si="17"/>
        <v>0</v>
      </c>
      <c r="W103" s="27">
        <f t="shared" si="34"/>
        <v>0</v>
      </c>
      <c r="X103" s="27"/>
      <c r="Y103" s="14">
        <f t="shared" si="31"/>
        <v>0</v>
      </c>
      <c r="AA103" s="23">
        <f t="shared" ca="1" si="32"/>
        <v>46845</v>
      </c>
      <c r="AB103" s="23">
        <f t="shared" ca="1" si="35"/>
        <v>46845</v>
      </c>
      <c r="AC103" s="23">
        <f t="shared" ca="1" si="20"/>
        <v>46845</v>
      </c>
      <c r="AE103" s="16">
        <v>63</v>
      </c>
      <c r="AF103" s="23">
        <f t="shared" ca="1" si="33"/>
        <v>46845</v>
      </c>
      <c r="AG103" s="23">
        <f t="shared" ca="1" si="24"/>
        <v>46819</v>
      </c>
    </row>
    <row r="104" spans="1:33" x14ac:dyDescent="0.2">
      <c r="A104" s="58"/>
      <c r="B104" s="43">
        <v>64</v>
      </c>
      <c r="C104" s="44">
        <f t="shared" ca="1" si="22"/>
        <v>46875</v>
      </c>
      <c r="D104" s="45">
        <f t="shared" ca="1" si="27"/>
        <v>0</v>
      </c>
      <c r="E104" s="46">
        <f t="shared" ref="E104:E112" ca="1" si="36">+D104-F104</f>
        <v>0</v>
      </c>
      <c r="F104" s="47">
        <f t="shared" ca="1" si="11"/>
        <v>0</v>
      </c>
      <c r="G104" s="47">
        <f t="shared" ca="1" si="12"/>
        <v>0</v>
      </c>
      <c r="H104" s="47">
        <f t="shared" si="13"/>
        <v>0</v>
      </c>
      <c r="I104" s="47">
        <f t="shared" si="14"/>
        <v>0</v>
      </c>
      <c r="J104" s="47"/>
      <c r="K104" s="47">
        <f t="shared" ca="1" si="15"/>
        <v>0</v>
      </c>
      <c r="L104" s="47">
        <f t="shared" si="28"/>
        <v>0</v>
      </c>
      <c r="M104" s="48">
        <f t="shared" ca="1" si="16"/>
        <v>0</v>
      </c>
      <c r="N104" s="58"/>
      <c r="O104" s="20">
        <f t="shared" si="29"/>
        <v>0</v>
      </c>
      <c r="P104" s="24">
        <f t="shared" ca="1" si="30"/>
        <v>1</v>
      </c>
      <c r="Q104" s="22">
        <f t="shared" ref="Q104:Q112" ca="1" si="37">C104-$C$40</f>
        <v>1947</v>
      </c>
      <c r="S104" s="25">
        <f t="shared" si="23"/>
        <v>0</v>
      </c>
      <c r="T104" s="26">
        <f t="shared" ca="1" si="17"/>
        <v>0</v>
      </c>
      <c r="W104" s="27">
        <f t="shared" si="34"/>
        <v>0</v>
      </c>
      <c r="X104" s="27"/>
      <c r="Y104" s="14">
        <f t="shared" si="31"/>
        <v>0</v>
      </c>
      <c r="AA104" s="23">
        <f t="shared" ca="1" si="32"/>
        <v>46875</v>
      </c>
      <c r="AB104" s="23">
        <f t="shared" ca="1" si="35"/>
        <v>46875</v>
      </c>
      <c r="AC104" s="23">
        <f t="shared" ca="1" si="20"/>
        <v>46875</v>
      </c>
      <c r="AE104" s="16">
        <v>64</v>
      </c>
      <c r="AF104" s="23">
        <f t="shared" ca="1" si="33"/>
        <v>46875</v>
      </c>
      <c r="AG104" s="23">
        <f t="shared" ca="1" si="24"/>
        <v>46849</v>
      </c>
    </row>
    <row r="105" spans="1:33" x14ac:dyDescent="0.2">
      <c r="A105" s="58"/>
      <c r="B105" s="43">
        <v>65</v>
      </c>
      <c r="C105" s="44">
        <f t="shared" ca="1" si="22"/>
        <v>46906</v>
      </c>
      <c r="D105" s="45">
        <f t="shared" ref="D105:D112" ca="1" si="38">+E104</f>
        <v>0</v>
      </c>
      <c r="E105" s="46">
        <f t="shared" ca="1" si="36"/>
        <v>0</v>
      </c>
      <c r="F105" s="47">
        <f t="shared" ca="1" si="11"/>
        <v>0</v>
      </c>
      <c r="G105" s="47">
        <f t="shared" ca="1" si="12"/>
        <v>0</v>
      </c>
      <c r="H105" s="47">
        <f t="shared" si="13"/>
        <v>0</v>
      </c>
      <c r="I105" s="47">
        <f t="shared" si="14"/>
        <v>0</v>
      </c>
      <c r="J105" s="47"/>
      <c r="K105" s="47">
        <f t="shared" ca="1" si="15"/>
        <v>0</v>
      </c>
      <c r="L105" s="47">
        <f t="shared" ref="L105:L112" si="39">+IF(B105&lt;=$E$23,$E$26,0)</f>
        <v>0</v>
      </c>
      <c r="M105" s="48">
        <f t="shared" ca="1" si="16"/>
        <v>0</v>
      </c>
      <c r="N105" s="58"/>
      <c r="O105" s="20">
        <f t="shared" ref="O105:O112" si="40">IF(B105&lt;=$E$23,ROUND((1+$G$23)^(-Q105),8),0)</f>
        <v>0</v>
      </c>
      <c r="P105" s="24">
        <f t="shared" ref="P105:P112" ca="1" si="41">VLOOKUP(MONTH(C105),$S$15:$T$32,2,0)</f>
        <v>1</v>
      </c>
      <c r="Q105" s="22">
        <f t="shared" ca="1" si="37"/>
        <v>1978</v>
      </c>
      <c r="S105" s="25">
        <f t="shared" si="23"/>
        <v>0</v>
      </c>
      <c r="T105" s="26">
        <f t="shared" ca="1" si="17"/>
        <v>0</v>
      </c>
      <c r="W105" s="27">
        <f t="shared" si="34"/>
        <v>0</v>
      </c>
      <c r="X105" s="27"/>
      <c r="Y105" s="14">
        <f t="shared" ref="Y105:Y112" si="42">IF(B105&lt;=$E$23,ROUND($E$27*$E$9/12,8),0)</f>
        <v>0</v>
      </c>
      <c r="AA105" s="23">
        <f t="shared" ca="1" si="32"/>
        <v>46906</v>
      </c>
      <c r="AB105" s="23">
        <f t="shared" ca="1" si="35"/>
        <v>46906</v>
      </c>
      <c r="AC105" s="23">
        <f t="shared" ca="1" si="20"/>
        <v>46906</v>
      </c>
      <c r="AE105" s="16">
        <v>65</v>
      </c>
      <c r="AF105" s="23">
        <f t="shared" ca="1" si="33"/>
        <v>46906</v>
      </c>
      <c r="AG105" s="23">
        <f t="shared" ca="1" si="24"/>
        <v>46879</v>
      </c>
    </row>
    <row r="106" spans="1:33" x14ac:dyDescent="0.2">
      <c r="A106" s="58"/>
      <c r="B106" s="43">
        <v>66</v>
      </c>
      <c r="C106" s="44">
        <f t="shared" ca="1" si="22"/>
        <v>46936</v>
      </c>
      <c r="D106" s="45">
        <f t="shared" ca="1" si="38"/>
        <v>0</v>
      </c>
      <c r="E106" s="46">
        <f t="shared" ca="1" si="36"/>
        <v>0</v>
      </c>
      <c r="F106" s="47">
        <f t="shared" ref="F106:F112" ca="1" si="43">IF(B106&lt;$E$23,ROUND($E$24*P106,2)-G106-H106,D106)</f>
        <v>0</v>
      </c>
      <c r="G106" s="47">
        <f t="shared" ref="G106:G112" ca="1" si="44">IF($E$24*P106-H106&lt;ROUND(S106,2),$E$24*P106-H106,ROUND(S106,2))</f>
        <v>0</v>
      </c>
      <c r="H106" s="47">
        <f t="shared" ref="H106:H112" si="45">ROUND(W106,2)</f>
        <v>0</v>
      </c>
      <c r="I106" s="47">
        <f t="shared" ref="I106:I112" si="46">ROUND(Y106,2)</f>
        <v>0</v>
      </c>
      <c r="J106" s="47"/>
      <c r="K106" s="47">
        <f t="shared" ref="K106:K112" ca="1" si="47">+G106+F106+H106</f>
        <v>0</v>
      </c>
      <c r="L106" s="47">
        <f t="shared" si="39"/>
        <v>0</v>
      </c>
      <c r="M106" s="48">
        <f t="shared" ref="M106:M112" ca="1" si="48">SUM(K106,L106)+I106</f>
        <v>0</v>
      </c>
      <c r="N106" s="58"/>
      <c r="O106" s="20">
        <f t="shared" si="40"/>
        <v>0</v>
      </c>
      <c r="P106" s="24">
        <f t="shared" ca="1" si="41"/>
        <v>1</v>
      </c>
      <c r="Q106" s="22">
        <f t="shared" ca="1" si="37"/>
        <v>2008</v>
      </c>
      <c r="S106" s="25">
        <f t="shared" si="23"/>
        <v>0</v>
      </c>
      <c r="T106" s="26">
        <f t="shared" ref="T106:T112" ca="1" si="49">ROUND(S106-G106,2)</f>
        <v>0</v>
      </c>
      <c r="W106" s="27">
        <f t="shared" si="34"/>
        <v>0</v>
      </c>
      <c r="X106" s="27"/>
      <c r="Y106" s="14">
        <f t="shared" si="42"/>
        <v>0</v>
      </c>
      <c r="AA106" s="23">
        <f t="shared" ref="AA106:AA112" ca="1" si="50">IF($E$15="Mensual",C105+30,DATE(YEAR(C105),MONTH(C105)+1,DAY(C105)))</f>
        <v>46936</v>
      </c>
      <c r="AB106" s="23">
        <f t="shared" ca="1" si="35"/>
        <v>46936</v>
      </c>
      <c r="AC106" s="23">
        <f t="shared" ref="AC106:AC112" ca="1" si="51">IF(AND(MONTH(AC105)+1=2,OR($G$15=29,$G$15=30)),DATE(YEAR(AC105),MONTH(AC105)+2,0),DATE(YEAR(AC105),MONTH(AC105)+1,DAY($G$15)))</f>
        <v>46936</v>
      </c>
      <c r="AE106" s="16">
        <v>66</v>
      </c>
      <c r="AF106" s="23">
        <f t="shared" ref="AF106:AF114" ca="1" si="52">IF(DAY(EOMONTH(C105,1))&lt;$G$15,DATE(YEAR(C105),MONTH(C105)+2,0),DATE(YEAR(C105),MONTH(C105)+1,DAY($G$15)))</f>
        <v>46936</v>
      </c>
      <c r="AG106" s="23">
        <f t="shared" ca="1" si="24"/>
        <v>46909</v>
      </c>
    </row>
    <row r="107" spans="1:33" x14ac:dyDescent="0.2">
      <c r="A107" s="58"/>
      <c r="B107" s="43">
        <v>67</v>
      </c>
      <c r="C107" s="44">
        <f t="shared" ref="C107:C112" ca="1" si="53">IF($E$15="Año Base 360",AG107,AF107)</f>
        <v>46967</v>
      </c>
      <c r="D107" s="45">
        <f t="shared" ca="1" si="38"/>
        <v>0</v>
      </c>
      <c r="E107" s="46">
        <f t="shared" ca="1" si="36"/>
        <v>0</v>
      </c>
      <c r="F107" s="47">
        <f t="shared" ca="1" si="43"/>
        <v>0</v>
      </c>
      <c r="G107" s="47">
        <f t="shared" ca="1" si="44"/>
        <v>0</v>
      </c>
      <c r="H107" s="47">
        <f t="shared" si="45"/>
        <v>0</v>
      </c>
      <c r="I107" s="47">
        <f t="shared" si="46"/>
        <v>0</v>
      </c>
      <c r="J107" s="47"/>
      <c r="K107" s="47">
        <f t="shared" ca="1" si="47"/>
        <v>0</v>
      </c>
      <c r="L107" s="47">
        <f t="shared" si="39"/>
        <v>0</v>
      </c>
      <c r="M107" s="48">
        <f t="shared" ca="1" si="48"/>
        <v>0</v>
      </c>
      <c r="N107" s="58"/>
      <c r="O107" s="20">
        <f t="shared" si="40"/>
        <v>0</v>
      </c>
      <c r="P107" s="24">
        <f t="shared" ca="1" si="41"/>
        <v>1</v>
      </c>
      <c r="Q107" s="22">
        <f t="shared" ca="1" si="37"/>
        <v>2039</v>
      </c>
      <c r="S107" s="25">
        <f t="shared" ref="S107:S112" si="54">+IF(B107&lt;=$E$23,D107*((1+$E$21)^((C107-C106)/360)-1)+T106*((1+$E$21)^((C107-C106)/360)-0),0)</f>
        <v>0</v>
      </c>
      <c r="T107" s="26">
        <f t="shared" ca="1" si="49"/>
        <v>0</v>
      </c>
      <c r="W107" s="27">
        <f t="shared" si="34"/>
        <v>0</v>
      </c>
      <c r="X107" s="27"/>
      <c r="Y107" s="14">
        <f t="shared" si="42"/>
        <v>0</v>
      </c>
      <c r="AA107" s="23">
        <f t="shared" ca="1" si="50"/>
        <v>46967</v>
      </c>
      <c r="AB107" s="23">
        <f t="shared" ca="1" si="35"/>
        <v>46967</v>
      </c>
      <c r="AC107" s="23">
        <f t="shared" ca="1" si="51"/>
        <v>46967</v>
      </c>
      <c r="AE107" s="16">
        <v>67</v>
      </c>
      <c r="AF107" s="23">
        <f t="shared" ca="1" si="52"/>
        <v>46967</v>
      </c>
      <c r="AG107" s="23">
        <f t="shared" ref="AG107:AG112" ca="1" si="55">AG106+30</f>
        <v>46939</v>
      </c>
    </row>
    <row r="108" spans="1:33" x14ac:dyDescent="0.2">
      <c r="A108" s="58"/>
      <c r="B108" s="43">
        <v>68</v>
      </c>
      <c r="C108" s="44">
        <f t="shared" ca="1" si="53"/>
        <v>46998</v>
      </c>
      <c r="D108" s="45">
        <f t="shared" ca="1" si="38"/>
        <v>0</v>
      </c>
      <c r="E108" s="46">
        <f t="shared" ca="1" si="36"/>
        <v>0</v>
      </c>
      <c r="F108" s="47">
        <f t="shared" ca="1" si="43"/>
        <v>0</v>
      </c>
      <c r="G108" s="47">
        <f t="shared" ca="1" si="44"/>
        <v>0</v>
      </c>
      <c r="H108" s="47">
        <f t="shared" si="45"/>
        <v>0</v>
      </c>
      <c r="I108" s="47">
        <f t="shared" si="46"/>
        <v>0</v>
      </c>
      <c r="J108" s="47"/>
      <c r="K108" s="47">
        <f t="shared" ca="1" si="47"/>
        <v>0</v>
      </c>
      <c r="L108" s="47">
        <f t="shared" si="39"/>
        <v>0</v>
      </c>
      <c r="M108" s="48">
        <f t="shared" ca="1" si="48"/>
        <v>0</v>
      </c>
      <c r="N108" s="58"/>
      <c r="O108" s="20">
        <f t="shared" si="40"/>
        <v>0</v>
      </c>
      <c r="P108" s="24">
        <f t="shared" ca="1" si="41"/>
        <v>1</v>
      </c>
      <c r="Q108" s="22">
        <f t="shared" ca="1" si="37"/>
        <v>2070</v>
      </c>
      <c r="S108" s="25">
        <f t="shared" si="54"/>
        <v>0</v>
      </c>
      <c r="T108" s="26">
        <f t="shared" ca="1" si="49"/>
        <v>0</v>
      </c>
      <c r="W108" s="27">
        <f t="shared" si="34"/>
        <v>0</v>
      </c>
      <c r="X108" s="27"/>
      <c r="Y108" s="14">
        <f t="shared" si="42"/>
        <v>0</v>
      </c>
      <c r="AA108" s="23">
        <f t="shared" ca="1" si="50"/>
        <v>46998</v>
      </c>
      <c r="AB108" s="23">
        <f t="shared" ca="1" si="35"/>
        <v>46998</v>
      </c>
      <c r="AC108" s="23">
        <f t="shared" ca="1" si="51"/>
        <v>46998</v>
      </c>
      <c r="AE108" s="16">
        <v>68</v>
      </c>
      <c r="AF108" s="23">
        <f t="shared" ca="1" si="52"/>
        <v>46998</v>
      </c>
      <c r="AG108" s="23">
        <f t="shared" ca="1" si="55"/>
        <v>46969</v>
      </c>
    </row>
    <row r="109" spans="1:33" x14ac:dyDescent="0.2">
      <c r="A109" s="58"/>
      <c r="B109" s="43">
        <v>69</v>
      </c>
      <c r="C109" s="44">
        <f t="shared" ca="1" si="53"/>
        <v>47028</v>
      </c>
      <c r="D109" s="45">
        <f t="shared" ca="1" si="38"/>
        <v>0</v>
      </c>
      <c r="E109" s="46">
        <f t="shared" ca="1" si="36"/>
        <v>0</v>
      </c>
      <c r="F109" s="47">
        <f t="shared" ca="1" si="43"/>
        <v>0</v>
      </c>
      <c r="G109" s="47">
        <f t="shared" ca="1" si="44"/>
        <v>0</v>
      </c>
      <c r="H109" s="47">
        <f t="shared" si="45"/>
        <v>0</v>
      </c>
      <c r="I109" s="47">
        <f t="shared" si="46"/>
        <v>0</v>
      </c>
      <c r="J109" s="47"/>
      <c r="K109" s="47">
        <f t="shared" ca="1" si="47"/>
        <v>0</v>
      </c>
      <c r="L109" s="47">
        <f t="shared" si="39"/>
        <v>0</v>
      </c>
      <c r="M109" s="48">
        <f t="shared" ca="1" si="48"/>
        <v>0</v>
      </c>
      <c r="N109" s="58"/>
      <c r="O109" s="20">
        <f t="shared" si="40"/>
        <v>0</v>
      </c>
      <c r="P109" s="24">
        <f t="shared" ca="1" si="41"/>
        <v>1</v>
      </c>
      <c r="Q109" s="22">
        <f t="shared" ca="1" si="37"/>
        <v>2100</v>
      </c>
      <c r="S109" s="25">
        <f t="shared" si="54"/>
        <v>0</v>
      </c>
      <c r="T109" s="26">
        <f t="shared" ca="1" si="49"/>
        <v>0</v>
      </c>
      <c r="W109" s="27">
        <f t="shared" si="34"/>
        <v>0</v>
      </c>
      <c r="X109" s="27"/>
      <c r="Y109" s="14">
        <f t="shared" si="42"/>
        <v>0</v>
      </c>
      <c r="AA109" s="23">
        <f t="shared" ca="1" si="50"/>
        <v>47028</v>
      </c>
      <c r="AB109" s="23">
        <f t="shared" ca="1" si="35"/>
        <v>47028</v>
      </c>
      <c r="AC109" s="23">
        <f t="shared" ca="1" si="51"/>
        <v>47028</v>
      </c>
      <c r="AE109" s="16">
        <v>69</v>
      </c>
      <c r="AF109" s="23">
        <f t="shared" ca="1" si="52"/>
        <v>47028</v>
      </c>
      <c r="AG109" s="23">
        <f t="shared" ca="1" si="55"/>
        <v>46999</v>
      </c>
    </row>
    <row r="110" spans="1:33" x14ac:dyDescent="0.2">
      <c r="A110" s="58"/>
      <c r="B110" s="43">
        <v>70</v>
      </c>
      <c r="C110" s="44">
        <f t="shared" ca="1" si="53"/>
        <v>47059</v>
      </c>
      <c r="D110" s="45">
        <f t="shared" ca="1" si="38"/>
        <v>0</v>
      </c>
      <c r="E110" s="46">
        <f t="shared" ca="1" si="36"/>
        <v>0</v>
      </c>
      <c r="F110" s="47">
        <f t="shared" ca="1" si="43"/>
        <v>0</v>
      </c>
      <c r="G110" s="47">
        <f t="shared" ca="1" si="44"/>
        <v>0</v>
      </c>
      <c r="H110" s="47">
        <f t="shared" si="45"/>
        <v>0</v>
      </c>
      <c r="I110" s="47">
        <f t="shared" si="46"/>
        <v>0</v>
      </c>
      <c r="J110" s="47"/>
      <c r="K110" s="47">
        <f t="shared" ca="1" si="47"/>
        <v>0</v>
      </c>
      <c r="L110" s="47">
        <f t="shared" si="39"/>
        <v>0</v>
      </c>
      <c r="M110" s="48">
        <f t="shared" ca="1" si="48"/>
        <v>0</v>
      </c>
      <c r="N110" s="58"/>
      <c r="O110" s="20">
        <f t="shared" si="40"/>
        <v>0</v>
      </c>
      <c r="P110" s="24">
        <f t="shared" ca="1" si="41"/>
        <v>1</v>
      </c>
      <c r="Q110" s="22">
        <f t="shared" ca="1" si="37"/>
        <v>2131</v>
      </c>
      <c r="S110" s="25">
        <f t="shared" si="54"/>
        <v>0</v>
      </c>
      <c r="T110" s="26">
        <f t="shared" ca="1" si="49"/>
        <v>0</v>
      </c>
      <c r="W110" s="27">
        <f t="shared" si="34"/>
        <v>0</v>
      </c>
      <c r="X110" s="27"/>
      <c r="Y110" s="14">
        <f t="shared" si="42"/>
        <v>0</v>
      </c>
      <c r="AA110" s="23">
        <f t="shared" ca="1" si="50"/>
        <v>47059</v>
      </c>
      <c r="AB110" s="23">
        <f t="shared" ca="1" si="35"/>
        <v>47059</v>
      </c>
      <c r="AC110" s="23">
        <f t="shared" ca="1" si="51"/>
        <v>47059</v>
      </c>
      <c r="AE110" s="16">
        <v>70</v>
      </c>
      <c r="AF110" s="23">
        <f t="shared" ca="1" si="52"/>
        <v>47059</v>
      </c>
      <c r="AG110" s="23">
        <f t="shared" ca="1" si="55"/>
        <v>47029</v>
      </c>
    </row>
    <row r="111" spans="1:33" x14ac:dyDescent="0.2">
      <c r="A111" s="58"/>
      <c r="B111" s="43">
        <v>71</v>
      </c>
      <c r="C111" s="44">
        <f t="shared" ca="1" si="53"/>
        <v>47089</v>
      </c>
      <c r="D111" s="45">
        <f t="shared" ca="1" si="38"/>
        <v>0</v>
      </c>
      <c r="E111" s="46">
        <f t="shared" ca="1" si="36"/>
        <v>0</v>
      </c>
      <c r="F111" s="47">
        <f t="shared" ca="1" si="43"/>
        <v>0</v>
      </c>
      <c r="G111" s="47">
        <f t="shared" ca="1" si="44"/>
        <v>0</v>
      </c>
      <c r="H111" s="47">
        <f t="shared" si="45"/>
        <v>0</v>
      </c>
      <c r="I111" s="47">
        <f t="shared" si="46"/>
        <v>0</v>
      </c>
      <c r="J111" s="47"/>
      <c r="K111" s="47">
        <f t="shared" ca="1" si="47"/>
        <v>0</v>
      </c>
      <c r="L111" s="47">
        <f t="shared" si="39"/>
        <v>0</v>
      </c>
      <c r="M111" s="48">
        <f t="shared" ca="1" si="48"/>
        <v>0</v>
      </c>
      <c r="N111" s="58"/>
      <c r="O111" s="20">
        <f t="shared" si="40"/>
        <v>0</v>
      </c>
      <c r="P111" s="24">
        <f t="shared" ca="1" si="41"/>
        <v>1</v>
      </c>
      <c r="Q111" s="22">
        <f t="shared" ca="1" si="37"/>
        <v>2161</v>
      </c>
      <c r="S111" s="25">
        <f t="shared" si="54"/>
        <v>0</v>
      </c>
      <c r="T111" s="26">
        <f t="shared" ca="1" si="49"/>
        <v>0</v>
      </c>
      <c r="W111" s="27">
        <f t="shared" si="34"/>
        <v>0</v>
      </c>
      <c r="X111" s="27"/>
      <c r="Y111" s="14">
        <f t="shared" si="42"/>
        <v>0</v>
      </c>
      <c r="AA111" s="23">
        <f t="shared" ca="1" si="50"/>
        <v>47089</v>
      </c>
      <c r="AB111" s="23">
        <f t="shared" ca="1" si="35"/>
        <v>47089</v>
      </c>
      <c r="AC111" s="23">
        <f t="shared" ca="1" si="51"/>
        <v>47089</v>
      </c>
      <c r="AE111" s="16">
        <v>71</v>
      </c>
      <c r="AF111" s="23">
        <f t="shared" ca="1" si="52"/>
        <v>47089</v>
      </c>
      <c r="AG111" s="23">
        <f t="shared" ca="1" si="55"/>
        <v>47059</v>
      </c>
    </row>
    <row r="112" spans="1:33" ht="13.5" thickBot="1" x14ac:dyDescent="0.25">
      <c r="A112" s="58"/>
      <c r="B112" s="49">
        <v>72</v>
      </c>
      <c r="C112" s="44">
        <f t="shared" ca="1" si="53"/>
        <v>47120</v>
      </c>
      <c r="D112" s="45">
        <f t="shared" ca="1" si="38"/>
        <v>0</v>
      </c>
      <c r="E112" s="46">
        <f t="shared" ca="1" si="36"/>
        <v>0</v>
      </c>
      <c r="F112" s="47">
        <f t="shared" ca="1" si="43"/>
        <v>0</v>
      </c>
      <c r="G112" s="47">
        <f t="shared" ca="1" si="44"/>
        <v>0</v>
      </c>
      <c r="H112" s="47">
        <f t="shared" si="45"/>
        <v>0</v>
      </c>
      <c r="I112" s="47">
        <f t="shared" si="46"/>
        <v>0</v>
      </c>
      <c r="J112" s="47"/>
      <c r="K112" s="47">
        <f t="shared" ca="1" si="47"/>
        <v>0</v>
      </c>
      <c r="L112" s="47">
        <f t="shared" si="39"/>
        <v>0</v>
      </c>
      <c r="M112" s="48">
        <f t="shared" ca="1" si="48"/>
        <v>0</v>
      </c>
      <c r="N112" s="58"/>
      <c r="O112" s="20">
        <f t="shared" si="40"/>
        <v>0</v>
      </c>
      <c r="P112" s="24">
        <f t="shared" ca="1" si="41"/>
        <v>1</v>
      </c>
      <c r="Q112" s="22">
        <f t="shared" ca="1" si="37"/>
        <v>2192</v>
      </c>
      <c r="S112" s="25">
        <f t="shared" si="54"/>
        <v>0</v>
      </c>
      <c r="T112" s="26">
        <f t="shared" ca="1" si="49"/>
        <v>0</v>
      </c>
      <c r="W112" s="27">
        <f t="shared" si="34"/>
        <v>0</v>
      </c>
      <c r="X112" s="27"/>
      <c r="Y112" s="14">
        <f t="shared" si="42"/>
        <v>0</v>
      </c>
      <c r="AA112" s="23">
        <f t="shared" ca="1" si="50"/>
        <v>47120</v>
      </c>
      <c r="AB112" s="23">
        <f t="shared" ca="1" si="35"/>
        <v>47120</v>
      </c>
      <c r="AC112" s="23">
        <f t="shared" ca="1" si="51"/>
        <v>47120</v>
      </c>
      <c r="AE112" s="16">
        <v>72</v>
      </c>
      <c r="AF112" s="23">
        <f t="shared" ca="1" si="52"/>
        <v>47120</v>
      </c>
      <c r="AG112" s="23">
        <f t="shared" ca="1" si="55"/>
        <v>47089</v>
      </c>
    </row>
    <row r="113" spans="1:33" x14ac:dyDescent="0.2">
      <c r="A113" s="58"/>
      <c r="B113" s="50" t="s">
        <v>51</v>
      </c>
      <c r="C113" s="50"/>
      <c r="D113" s="51">
        <f ca="1">SUM(D41:D112)</f>
        <v>2191393.359999998</v>
      </c>
      <c r="E113" s="51">
        <f t="shared" ref="E113:M113" ca="1" si="56">SUM(E41:E112)</f>
        <v>2126797.359999998</v>
      </c>
      <c r="F113" s="51">
        <f t="shared" ca="1" si="56"/>
        <v>64595.999999999985</v>
      </c>
      <c r="G113" s="51">
        <f t="shared" ca="1" si="56"/>
        <v>22730.790000000012</v>
      </c>
      <c r="H113" s="51">
        <f t="shared" ca="1" si="56"/>
        <v>2821.9</v>
      </c>
      <c r="I113" s="51">
        <f t="shared" si="56"/>
        <v>21000</v>
      </c>
      <c r="J113" s="51"/>
      <c r="K113" s="51">
        <f t="shared" ca="1" si="56"/>
        <v>90148.68999999993</v>
      </c>
      <c r="L113" s="51">
        <f t="shared" si="56"/>
        <v>600</v>
      </c>
      <c r="M113" s="51">
        <f t="shared" ca="1" si="56"/>
        <v>111748.68999999989</v>
      </c>
      <c r="N113" s="58"/>
      <c r="P113" s="24"/>
      <c r="AE113" s="17"/>
      <c r="AF113" s="23">
        <f t="shared" ca="1" si="52"/>
        <v>47151</v>
      </c>
      <c r="AG113" s="23">
        <f t="shared" ref="AG113:AG114" ca="1" si="57">AG112+30</f>
        <v>47119</v>
      </c>
    </row>
    <row r="114" spans="1:33" x14ac:dyDescent="0.2">
      <c r="A114" s="58"/>
      <c r="B114" s="58"/>
      <c r="C114" s="58"/>
      <c r="D114" s="58"/>
      <c r="E114" s="67"/>
      <c r="F114" s="58"/>
      <c r="G114" s="58"/>
      <c r="H114" s="58"/>
      <c r="I114" s="58"/>
      <c r="J114" s="58"/>
      <c r="K114" s="58"/>
      <c r="L114" s="58"/>
      <c r="M114" s="67"/>
      <c r="N114" s="58"/>
      <c r="AF114" s="23">
        <f t="shared" si="52"/>
        <v>33</v>
      </c>
      <c r="AG114" s="23">
        <f t="shared" ca="1" si="57"/>
        <v>47149</v>
      </c>
    </row>
    <row r="115" spans="1:33" x14ac:dyDescent="0.2">
      <c r="A115" s="58"/>
      <c r="B115" s="58"/>
      <c r="C115" s="58"/>
      <c r="D115" s="58"/>
      <c r="E115" s="67"/>
      <c r="F115" s="58"/>
      <c r="G115" s="58"/>
      <c r="H115" s="58"/>
      <c r="I115" s="58"/>
      <c r="J115" s="58"/>
      <c r="K115" s="58"/>
      <c r="L115" s="58"/>
      <c r="M115" s="67"/>
      <c r="N115" s="58"/>
      <c r="AF115" s="23"/>
      <c r="AG115" s="23"/>
    </row>
    <row r="116" spans="1:33" ht="15.75" x14ac:dyDescent="0.25">
      <c r="A116" s="93"/>
      <c r="B116" s="92" t="s">
        <v>63</v>
      </c>
      <c r="C116" s="93"/>
      <c r="D116" s="93"/>
      <c r="E116" s="94"/>
      <c r="F116" s="93"/>
      <c r="G116" s="93"/>
      <c r="H116" s="93"/>
      <c r="I116" s="93"/>
      <c r="J116" s="93"/>
      <c r="K116" s="93"/>
      <c r="L116" s="93"/>
      <c r="M116" s="94"/>
      <c r="N116" s="93"/>
      <c r="AF116" s="23"/>
      <c r="AG116" s="23"/>
    </row>
    <row r="117" spans="1:33" ht="8.25" customHeight="1" x14ac:dyDescent="0.25">
      <c r="A117" s="93"/>
      <c r="B117" s="92"/>
      <c r="C117" s="93"/>
      <c r="D117" s="93"/>
      <c r="E117" s="94"/>
      <c r="F117" s="93"/>
      <c r="G117" s="93"/>
      <c r="H117" s="93"/>
      <c r="I117" s="93"/>
      <c r="J117" s="93"/>
      <c r="K117" s="93"/>
      <c r="L117" s="93"/>
      <c r="M117" s="94"/>
      <c r="N117" s="93"/>
      <c r="AF117" s="23"/>
      <c r="AG117" s="23"/>
    </row>
    <row r="118" spans="1:33" ht="20.25" customHeight="1" x14ac:dyDescent="0.2">
      <c r="A118" s="93"/>
      <c r="B118" s="138" t="s">
        <v>64</v>
      </c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94"/>
      <c r="N118" s="93"/>
      <c r="AF118" s="23"/>
      <c r="AG118" s="23"/>
    </row>
    <row r="119" spans="1:33" ht="45.75" customHeight="1" x14ac:dyDescent="0.2">
      <c r="A119" s="93"/>
      <c r="B119" s="141" t="s">
        <v>65</v>
      </c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94"/>
      <c r="N119" s="93"/>
      <c r="AF119" s="23"/>
      <c r="AG119" s="23"/>
    </row>
    <row r="120" spans="1:33" ht="41.25" customHeight="1" x14ac:dyDescent="0.2">
      <c r="A120" s="93"/>
      <c r="B120" s="139" t="s">
        <v>84</v>
      </c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94"/>
      <c r="N120" s="93"/>
      <c r="AF120" s="23"/>
      <c r="AG120" s="23"/>
    </row>
    <row r="121" spans="1:33" ht="41.25" customHeight="1" x14ac:dyDescent="0.2">
      <c r="A121" s="93"/>
      <c r="B121" s="139" t="s">
        <v>66</v>
      </c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94"/>
      <c r="N121" s="93"/>
      <c r="AF121" s="23"/>
      <c r="AG121" s="23"/>
    </row>
    <row r="122" spans="1:33" ht="30.75" customHeight="1" x14ac:dyDescent="0.2">
      <c r="A122" s="93"/>
      <c r="B122" s="139" t="s">
        <v>68</v>
      </c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94"/>
      <c r="N122" s="93"/>
      <c r="AF122" s="23"/>
      <c r="AG122" s="23"/>
    </row>
    <row r="123" spans="1:33" x14ac:dyDescent="0.2">
      <c r="A123" s="58"/>
      <c r="B123" s="58"/>
      <c r="C123" s="58"/>
      <c r="D123" s="58"/>
      <c r="E123" s="58"/>
      <c r="F123" s="58"/>
      <c r="G123" s="58"/>
      <c r="H123" s="67"/>
      <c r="I123" s="58"/>
      <c r="J123" s="58"/>
      <c r="K123" s="58"/>
      <c r="L123" s="58"/>
      <c r="M123" s="67"/>
      <c r="N123" s="58"/>
    </row>
    <row r="124" spans="1:33" x14ac:dyDescent="0.2">
      <c r="A124" s="58"/>
      <c r="B124" s="58"/>
      <c r="C124" s="58"/>
      <c r="D124" s="58"/>
      <c r="E124" s="58"/>
      <c r="F124" s="58"/>
      <c r="G124" s="58"/>
      <c r="H124" s="67"/>
      <c r="I124" s="58"/>
      <c r="J124" s="58"/>
      <c r="K124" s="58"/>
      <c r="L124" s="58"/>
      <c r="M124" s="67"/>
      <c r="N124" s="58"/>
    </row>
  </sheetData>
  <sheetProtection algorithmName="SHA-512" hashValue="Uw0KWTZhcpH+O4TLHW6uPtnXF8CWyCf6Rb9sD4/wJl45Ri3u+QfYqf/RTXxcMdFfGc77vdiwKHvZ7V/tXFVVRA==" saltValue="g0XDdNH7pDSn2r7mHxB/XA==" spinCount="100000" sheet="1" objects="1" scenarios="1"/>
  <mergeCells count="25">
    <mergeCell ref="B11:D11"/>
    <mergeCell ref="W38:X38"/>
    <mergeCell ref="B25:D25"/>
    <mergeCell ref="D39:E39"/>
    <mergeCell ref="B35:D35"/>
    <mergeCell ref="B6:M6"/>
    <mergeCell ref="B8:D8"/>
    <mergeCell ref="B14:D14"/>
    <mergeCell ref="B15:D15"/>
    <mergeCell ref="B24:D24"/>
    <mergeCell ref="B23:D23"/>
    <mergeCell ref="B17:D17"/>
    <mergeCell ref="B20:D20"/>
    <mergeCell ref="B21:D21"/>
    <mergeCell ref="B22:D22"/>
    <mergeCell ref="B18:D18"/>
    <mergeCell ref="B19:D19"/>
    <mergeCell ref="B12:D12"/>
    <mergeCell ref="B118:L118"/>
    <mergeCell ref="B122:L122"/>
    <mergeCell ref="B119:L119"/>
    <mergeCell ref="B120:L120"/>
    <mergeCell ref="B121:L121"/>
    <mergeCell ref="B30:D30"/>
    <mergeCell ref="B26:D26"/>
  </mergeCells>
  <phoneticPr fontId="0" type="noConversion"/>
  <conditionalFormatting sqref="F15:G15">
    <cfRule type="expression" dxfId="1" priority="2" stopIfTrue="1">
      <formula>$E$15="Año Base 360"</formula>
    </cfRule>
  </conditionalFormatting>
  <conditionalFormatting sqref="E16">
    <cfRule type="expression" dxfId="0" priority="1" stopIfTrue="1">
      <formula>$E$15="Año Base 360"</formula>
    </cfRule>
  </conditionalFormatting>
  <dataValidations count="9">
    <dataValidation type="list" allowBlank="1" showInputMessage="1" showErrorMessage="1" sqref="E8">
      <formula1>"Soles,Dólares"</formula1>
    </dataValidation>
    <dataValidation type="list" allowBlank="1" showInputMessage="1" showErrorMessage="1" sqref="E15">
      <formula1>"Año Base 360,Días Calendario"</formula1>
    </dataValidation>
    <dataValidation allowBlank="1" showInputMessage="1" showErrorMessage="1" errorTitle="Monto Solicitado" error="El monto solicitado no puede exceder a S/. 66,000 o US$ 22,000" sqref="E14"/>
    <dataValidation type="whole" allowBlank="1" showInputMessage="1" showErrorMessage="1" errorTitle="Plazo del Préstamo" error="El máximo plazo establecido es hasta 72 meses." sqref="E23">
      <formula1>0</formula1>
      <formula2>72</formula2>
    </dataValidation>
    <dataValidation type="whole" allowBlank="1" showInputMessage="1" showErrorMessage="1" errorTitle="Plazo de Gracia" error="El máximo plazo establecido es hasta 6 meses." sqref="E18">
      <formula1>0</formula1>
      <formula2>6</formula2>
    </dataValidation>
    <dataValidation type="list" allowBlank="1" showInputMessage="1" showErrorMessage="1" errorTitle="Plazo de Gracia" error="El máximo plazo establecido es hasta 6 meses." sqref="E19">
      <formula1>"Si,No"</formula1>
    </dataValidation>
    <dataValidation type="list" allowBlank="1" showInputMessage="1" showErrorMessage="1" sqref="E25">
      <formula1>$R$35:$R$36</formula1>
    </dataValidation>
    <dataValidation type="list" allowBlank="1" showInputMessage="1" showErrorMessage="1" sqref="G15:G16 E16">
      <formula1>$T$4:$T$6</formula1>
    </dataValidation>
    <dataValidation type="list" allowBlank="1" showInputMessage="1" showErrorMessage="1" sqref="E29">
      <formula1>$P$16:$P$18</formula1>
    </dataValidation>
  </dataValidations>
  <pageMargins left="0.74803149606299213" right="0.74803149606299213" top="0.98425196850393704" bottom="0.98425196850393704" header="0" footer="0"/>
  <pageSetup paperSize="9" scale="60" orientation="portrait" horizontalDpi="4294967294" verticalDpi="4294967294" r:id="rId1"/>
  <headerFooter alignWithMargins="0"/>
  <colBreaks count="1" manualBreakCount="1">
    <brk id="14" min="4" max="9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B7:J52"/>
  <sheetViews>
    <sheetView topLeftCell="A17" workbookViewId="0">
      <selection activeCell="C34" sqref="C34"/>
    </sheetView>
  </sheetViews>
  <sheetFormatPr baseColWidth="10" defaultRowHeight="12.75" x14ac:dyDescent="0.2"/>
  <cols>
    <col min="1" max="1" width="3.28515625" customWidth="1"/>
  </cols>
  <sheetData>
    <row r="7" spans="2:10" ht="13.5" thickBot="1" x14ac:dyDescent="0.25"/>
    <row r="8" spans="2:10" s="5" customFormat="1" ht="25.15" customHeight="1" thickBot="1" x14ac:dyDescent="0.3">
      <c r="B8" s="2" t="s">
        <v>31</v>
      </c>
      <c r="C8" s="3"/>
      <c r="D8" s="3"/>
      <c r="E8" s="3"/>
      <c r="F8" s="3"/>
      <c r="G8" s="3"/>
      <c r="H8" s="3"/>
      <c r="I8" s="3"/>
      <c r="J8" s="4"/>
    </row>
    <row r="12" spans="2:10" x14ac:dyDescent="0.2">
      <c r="B12" t="s">
        <v>3</v>
      </c>
      <c r="F12" t="s">
        <v>29</v>
      </c>
    </row>
    <row r="19" spans="2:5" x14ac:dyDescent="0.2">
      <c r="B19" t="s">
        <v>5</v>
      </c>
    </row>
    <row r="24" spans="2:5" x14ac:dyDescent="0.2">
      <c r="B24" t="s">
        <v>7</v>
      </c>
    </row>
    <row r="30" spans="2:5" x14ac:dyDescent="0.2">
      <c r="B30" t="s">
        <v>4</v>
      </c>
      <c r="E30" t="s">
        <v>11</v>
      </c>
    </row>
    <row r="36" spans="2:9" x14ac:dyDescent="0.2">
      <c r="B36" t="s">
        <v>6</v>
      </c>
      <c r="E36" t="s">
        <v>9</v>
      </c>
    </row>
    <row r="37" spans="2:9" x14ac:dyDescent="0.2">
      <c r="B37" t="s">
        <v>12</v>
      </c>
    </row>
    <row r="42" spans="2:9" x14ac:dyDescent="0.2">
      <c r="B42" s="1" t="s">
        <v>24</v>
      </c>
    </row>
    <row r="43" spans="2:9" x14ac:dyDescent="0.2">
      <c r="B43" s="6"/>
      <c r="C43" s="7"/>
      <c r="D43" s="7"/>
      <c r="E43" s="7"/>
      <c r="F43" s="7"/>
      <c r="G43" s="7"/>
      <c r="H43" s="7"/>
      <c r="I43" s="8"/>
    </row>
    <row r="44" spans="2:9" x14ac:dyDescent="0.2">
      <c r="B44" s="9"/>
      <c r="C44" t="s">
        <v>16</v>
      </c>
      <c r="F44" t="s">
        <v>32</v>
      </c>
      <c r="I44" s="10"/>
    </row>
    <row r="45" spans="2:9" x14ac:dyDescent="0.2">
      <c r="B45" s="9"/>
      <c r="C45" t="s">
        <v>17</v>
      </c>
      <c r="F45" t="s">
        <v>23</v>
      </c>
      <c r="I45" s="10"/>
    </row>
    <row r="46" spans="2:9" x14ac:dyDescent="0.2">
      <c r="B46" s="9"/>
      <c r="C46" t="s">
        <v>33</v>
      </c>
      <c r="F46" t="s">
        <v>10</v>
      </c>
      <c r="I46" s="10"/>
    </row>
    <row r="47" spans="2:9" x14ac:dyDescent="0.2">
      <c r="B47" s="9"/>
      <c r="C47" t="s">
        <v>19</v>
      </c>
      <c r="F47" t="s">
        <v>8</v>
      </c>
      <c r="I47" s="10"/>
    </row>
    <row r="48" spans="2:9" x14ac:dyDescent="0.2">
      <c r="B48" s="9"/>
      <c r="C48" t="s">
        <v>20</v>
      </c>
      <c r="F48" t="s">
        <v>25</v>
      </c>
      <c r="I48" s="10"/>
    </row>
    <row r="49" spans="2:9" x14ac:dyDescent="0.2">
      <c r="B49" s="9"/>
      <c r="C49" t="s">
        <v>18</v>
      </c>
      <c r="F49" t="s">
        <v>30</v>
      </c>
      <c r="I49" s="10"/>
    </row>
    <row r="50" spans="2:9" x14ac:dyDescent="0.2">
      <c r="B50" s="9"/>
      <c r="C50" t="s">
        <v>21</v>
      </c>
      <c r="I50" s="10"/>
    </row>
    <row r="51" spans="2:9" x14ac:dyDescent="0.2">
      <c r="B51" s="9"/>
      <c r="C51" t="s">
        <v>22</v>
      </c>
      <c r="I51" s="10"/>
    </row>
    <row r="52" spans="2:9" x14ac:dyDescent="0.2">
      <c r="B52" s="11"/>
      <c r="C52" s="12"/>
      <c r="D52" s="12"/>
      <c r="E52" s="12"/>
      <c r="F52" s="12"/>
      <c r="G52" s="12"/>
      <c r="H52" s="12"/>
      <c r="I52" s="13"/>
    </row>
  </sheetData>
  <phoneticPr fontId="0" type="noConversion"/>
  <printOptions horizontalCentered="1"/>
  <pageMargins left="0.78740157480314965" right="0.78740157480314965" top="0.98425196850393704" bottom="0.98425196850393704" header="0" footer="0"/>
  <pageSetup paperSize="9" scale="76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3073" r:id="rId4">
          <objectPr defaultSize="0" autoPict="0" r:id="rId5">
            <anchor moveWithCells="1" sizeWithCells="1">
              <from>
                <xdr:col>1</xdr:col>
                <xdr:colOff>142875</xdr:colOff>
                <xdr:row>12</xdr:row>
                <xdr:rowOff>66675</xdr:rowOff>
              </from>
              <to>
                <xdr:col>4</xdr:col>
                <xdr:colOff>28575</xdr:colOff>
                <xdr:row>16</xdr:row>
                <xdr:rowOff>133350</xdr:rowOff>
              </to>
            </anchor>
          </objectPr>
        </oleObject>
      </mc:Choice>
      <mc:Fallback>
        <oleObject progId="Equation.3" shapeId="3073" r:id="rId4"/>
      </mc:Fallback>
    </mc:AlternateContent>
    <mc:AlternateContent xmlns:mc="http://schemas.openxmlformats.org/markup-compatibility/2006">
      <mc:Choice Requires="x14">
        <oleObject progId="Equation.3" shapeId="3074" r:id="rId6">
          <objectPr defaultSize="0" autoPict="0" r:id="rId7">
            <anchor moveWithCells="1" sizeWithCells="1">
              <from>
                <xdr:col>1</xdr:col>
                <xdr:colOff>95250</xdr:colOff>
                <xdr:row>24</xdr:row>
                <xdr:rowOff>57150</xdr:rowOff>
              </from>
              <to>
                <xdr:col>3</xdr:col>
                <xdr:colOff>485775</xdr:colOff>
                <xdr:row>28</xdr:row>
                <xdr:rowOff>19050</xdr:rowOff>
              </to>
            </anchor>
          </objectPr>
        </oleObject>
      </mc:Choice>
      <mc:Fallback>
        <oleObject progId="Equation.3" shapeId="3074" r:id="rId6"/>
      </mc:Fallback>
    </mc:AlternateContent>
    <mc:AlternateContent xmlns:mc="http://schemas.openxmlformats.org/markup-compatibility/2006">
      <mc:Choice Requires="x14">
        <oleObject progId="Equation.3" shapeId="3075" r:id="rId8">
          <objectPr defaultSize="0" autoPict="0" r:id="rId9">
            <anchor moveWithCells="1" sizeWithCells="1">
              <from>
                <xdr:col>4</xdr:col>
                <xdr:colOff>66675</xdr:colOff>
                <xdr:row>24</xdr:row>
                <xdr:rowOff>104775</xdr:rowOff>
              </from>
              <to>
                <xdr:col>6</xdr:col>
                <xdr:colOff>714375</xdr:colOff>
                <xdr:row>28</xdr:row>
                <xdr:rowOff>66675</xdr:rowOff>
              </to>
            </anchor>
          </objectPr>
        </oleObject>
      </mc:Choice>
      <mc:Fallback>
        <oleObject progId="Equation.3" shapeId="3075" r:id="rId8"/>
      </mc:Fallback>
    </mc:AlternateContent>
    <mc:AlternateContent xmlns:mc="http://schemas.openxmlformats.org/markup-compatibility/2006">
      <mc:Choice Requires="x14">
        <oleObject progId="Equation.3" shapeId="3076" r:id="rId10">
          <objectPr defaultSize="0" r:id="rId11">
            <anchor moveWithCells="1" sizeWithCells="1">
              <from>
                <xdr:col>1</xdr:col>
                <xdr:colOff>104775</xdr:colOff>
                <xdr:row>30</xdr:row>
                <xdr:rowOff>142875</xdr:rowOff>
              </from>
              <to>
                <xdr:col>2</xdr:col>
                <xdr:colOff>457200</xdr:colOff>
                <xdr:row>33</xdr:row>
                <xdr:rowOff>28575</xdr:rowOff>
              </to>
            </anchor>
          </objectPr>
        </oleObject>
      </mc:Choice>
      <mc:Fallback>
        <oleObject progId="Equation.3" shapeId="3076" r:id="rId10"/>
      </mc:Fallback>
    </mc:AlternateContent>
    <mc:AlternateContent xmlns:mc="http://schemas.openxmlformats.org/markup-compatibility/2006">
      <mc:Choice Requires="x14">
        <oleObject progId="Equation.3" shapeId="3077" r:id="rId12">
          <objectPr defaultSize="0" autoPict="0" r:id="rId13">
            <anchor moveWithCells="1" sizeWithCells="1">
              <from>
                <xdr:col>1</xdr:col>
                <xdr:colOff>66675</xdr:colOff>
                <xdr:row>37</xdr:row>
                <xdr:rowOff>142875</xdr:rowOff>
              </from>
              <to>
                <xdr:col>2</xdr:col>
                <xdr:colOff>438150</xdr:colOff>
                <xdr:row>40</xdr:row>
                <xdr:rowOff>28575</xdr:rowOff>
              </to>
            </anchor>
          </objectPr>
        </oleObject>
      </mc:Choice>
      <mc:Fallback>
        <oleObject progId="Equation.3" shapeId="3077" r:id="rId12"/>
      </mc:Fallback>
    </mc:AlternateContent>
    <mc:AlternateContent xmlns:mc="http://schemas.openxmlformats.org/markup-compatibility/2006">
      <mc:Choice Requires="x14">
        <oleObject progId="Equation.3" shapeId="3078" r:id="rId14">
          <objectPr defaultSize="0" autoPict="0" r:id="rId15">
            <anchor moveWithCells="1" sizeWithCells="1">
              <from>
                <xdr:col>1</xdr:col>
                <xdr:colOff>104775</xdr:colOff>
                <xdr:row>20</xdr:row>
                <xdr:rowOff>57150</xdr:rowOff>
              </from>
              <to>
                <xdr:col>2</xdr:col>
                <xdr:colOff>714375</xdr:colOff>
                <xdr:row>22</xdr:row>
                <xdr:rowOff>66675</xdr:rowOff>
              </to>
            </anchor>
          </objectPr>
        </oleObject>
      </mc:Choice>
      <mc:Fallback>
        <oleObject progId="Equation.3" shapeId="3078" r:id="rId14"/>
      </mc:Fallback>
    </mc:AlternateContent>
    <mc:AlternateContent xmlns:mc="http://schemas.openxmlformats.org/markup-compatibility/2006">
      <mc:Choice Requires="x14">
        <oleObject progId="Equation.3" shapeId="3079" r:id="rId16">
          <objectPr defaultSize="0" autoPict="0" r:id="rId17">
            <anchor moveWithCells="1" sizeWithCells="1">
              <from>
                <xdr:col>5</xdr:col>
                <xdr:colOff>28575</xdr:colOff>
                <xdr:row>13</xdr:row>
                <xdr:rowOff>0</xdr:rowOff>
              </from>
              <to>
                <xdr:col>7</xdr:col>
                <xdr:colOff>209550</xdr:colOff>
                <xdr:row>16</xdr:row>
                <xdr:rowOff>104775</xdr:rowOff>
              </to>
            </anchor>
          </objectPr>
        </oleObject>
      </mc:Choice>
      <mc:Fallback>
        <oleObject progId="Equation.3" shapeId="3079" r:id="rId16"/>
      </mc:Fallback>
    </mc:AlternateContent>
    <mc:AlternateContent xmlns:mc="http://schemas.openxmlformats.org/markup-compatibility/2006">
      <mc:Choice Requires="x14">
        <oleObject progId="Equation.3" shapeId="3080" r:id="rId18">
          <objectPr defaultSize="0" r:id="rId19">
            <anchor moveWithCells="1" sizeWithCells="1">
              <from>
                <xdr:col>4</xdr:col>
                <xdr:colOff>28575</xdr:colOff>
                <xdr:row>37</xdr:row>
                <xdr:rowOff>133350</xdr:rowOff>
              </from>
              <to>
                <xdr:col>6</xdr:col>
                <xdr:colOff>285750</xdr:colOff>
                <xdr:row>40</xdr:row>
                <xdr:rowOff>19050</xdr:rowOff>
              </to>
            </anchor>
          </objectPr>
        </oleObject>
      </mc:Choice>
      <mc:Fallback>
        <oleObject progId="Equation.3" shapeId="3080" r:id="rId18"/>
      </mc:Fallback>
    </mc:AlternateContent>
    <mc:AlternateContent xmlns:mc="http://schemas.openxmlformats.org/markup-compatibility/2006">
      <mc:Choice Requires="x14">
        <oleObject progId="Equation.3" shapeId="3081" r:id="rId20">
          <objectPr defaultSize="0" r:id="rId21">
            <anchor moveWithCells="1" sizeWithCells="1">
              <from>
                <xdr:col>4</xdr:col>
                <xdr:colOff>28575</xdr:colOff>
                <xdr:row>30</xdr:row>
                <xdr:rowOff>95250</xdr:rowOff>
              </from>
              <to>
                <xdr:col>8</xdr:col>
                <xdr:colOff>752475</xdr:colOff>
                <xdr:row>34</xdr:row>
                <xdr:rowOff>95250</xdr:rowOff>
              </to>
            </anchor>
          </objectPr>
        </oleObject>
      </mc:Choice>
      <mc:Fallback>
        <oleObject progId="Equation.3" shapeId="3081" r:id="rId2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Simulador</vt:lpstr>
      <vt:lpstr>Formulas</vt:lpstr>
      <vt:lpstr>Formulas!Área_de_impresión</vt:lpstr>
      <vt:lpstr>Simulador!Área_de_impresión</vt:lpstr>
      <vt:lpstr>EnvioFisico</vt:lpstr>
    </vt:vector>
  </TitlesOfParts>
  <Company>Banco de Comercio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LNunez</dc:creator>
  <cp:lastModifiedBy>Augusto Guillermo Chavez Arana</cp:lastModifiedBy>
  <cp:lastPrinted>2019-06-12T15:55:48Z</cp:lastPrinted>
  <dcterms:created xsi:type="dcterms:W3CDTF">2006-06-27T20:09:38Z</dcterms:created>
  <dcterms:modified xsi:type="dcterms:W3CDTF">2023-01-03T01:21:54Z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b88ec2-a72b-4523-9e84-0458a1764731_Enabled">
    <vt:lpwstr>true</vt:lpwstr>
  </property>
  <property fmtid="{D5CDD505-2E9C-101B-9397-08002B2CF9AE}" pid="3" name="MSIP_Label_41b88ec2-a72b-4523-9e84-0458a1764731_SetDate">
    <vt:lpwstr>2023-01-02T14:55:00Z</vt:lpwstr>
  </property>
  <property fmtid="{D5CDD505-2E9C-101B-9397-08002B2CF9AE}" pid="4" name="MSIP_Label_41b88ec2-a72b-4523-9e84-0458a1764731_Method">
    <vt:lpwstr>Privileged</vt:lpwstr>
  </property>
  <property fmtid="{D5CDD505-2E9C-101B-9397-08002B2CF9AE}" pid="5" name="MSIP_Label_41b88ec2-a72b-4523-9e84-0458a1764731_Name">
    <vt:lpwstr>Public O365</vt:lpwstr>
  </property>
  <property fmtid="{D5CDD505-2E9C-101B-9397-08002B2CF9AE}" pid="6" name="MSIP_Label_41b88ec2-a72b-4523-9e84-0458a1764731_SiteId">
    <vt:lpwstr>35595a02-4d6d-44ac-99e1-f9ab4cd872db</vt:lpwstr>
  </property>
  <property fmtid="{D5CDD505-2E9C-101B-9397-08002B2CF9AE}" pid="7" name="MSIP_Label_41b88ec2-a72b-4523-9e84-0458a1764731_ActionId">
    <vt:lpwstr>985abe3d-031c-4582-a5db-c7a95304573f</vt:lpwstr>
  </property>
  <property fmtid="{D5CDD505-2E9C-101B-9397-08002B2CF9AE}" pid="8" name="MSIP_Label_41b88ec2-a72b-4523-9e84-0458a1764731_ContentBits">
    <vt:lpwstr>0</vt:lpwstr>
  </property>
</Properties>
</file>