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achavez\Downloads\"/>
    </mc:Choice>
  </mc:AlternateContent>
  <workbookProtection workbookAlgorithmName="SHA-512" workbookHashValue="AP2MFe3myLfKCyHzF3tPeSkOAvOoUWlWVeTC9E27Tq/SwcxlTw5Hth7huIbufWuYMbst0avq9sZXl9XMJOZE7Q==" workbookSaltValue="GgGYiq+fTKjI3bHJtuvc3Q==" workbookSpinCount="100000" lockStructure="1"/>
  <bookViews>
    <workbookView xWindow="-105" yWindow="-105" windowWidth="23250" windowHeight="12570" tabRatio="599"/>
  </bookViews>
  <sheets>
    <sheet name="Simulador" sheetId="1" r:id="rId1"/>
    <sheet name="Formulas" sheetId="3" state="hidden" r:id="rId2"/>
  </sheets>
  <definedNames>
    <definedName name="_xlnm.Print_Area" localSheetId="1">Formulas!$B$1:$J$56</definedName>
    <definedName name="_xlnm.Print_Area" localSheetId="0">Simulador!$B$5:$V$114</definedName>
    <definedName name="EnvioFisico">Simulador!$Y$38:$Y$39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E11" i="1"/>
  <c r="E13" i="1"/>
  <c r="E14" i="1" s="1"/>
  <c r="E34" i="1"/>
  <c r="E32" i="1" l="1"/>
  <c r="G25" i="1" s="1"/>
  <c r="E15" i="1" l="1"/>
  <c r="I32" i="1"/>
  <c r="P37" i="1"/>
  <c r="Z44" i="1"/>
  <c r="Z45" i="1" s="1"/>
  <c r="Z46" i="1" s="1"/>
  <c r="Z47" i="1" s="1"/>
  <c r="Z48" i="1" s="1"/>
  <c r="Z49" i="1" s="1"/>
  <c r="Z50" i="1" s="1"/>
  <c r="Z51" i="1" s="1"/>
  <c r="Z52" i="1" s="1"/>
  <c r="Z53" i="1" s="1"/>
  <c r="Z54" i="1" s="1"/>
  <c r="Z55" i="1" s="1"/>
  <c r="Z56" i="1" s="1"/>
  <c r="Z57" i="1" s="1"/>
  <c r="Z58" i="1" s="1"/>
  <c r="Z59" i="1" s="1"/>
  <c r="Z60" i="1" s="1"/>
  <c r="Z61" i="1" s="1"/>
  <c r="Z62" i="1" s="1"/>
  <c r="Z63" i="1" s="1"/>
  <c r="Z64" i="1" s="1"/>
  <c r="Z65" i="1" s="1"/>
  <c r="Z66" i="1" s="1"/>
  <c r="Z67" i="1" s="1"/>
  <c r="Z68" i="1" s="1"/>
  <c r="Z69" i="1" s="1"/>
  <c r="Z70" i="1" s="1"/>
  <c r="Z71" i="1" s="1"/>
  <c r="Z72" i="1" s="1"/>
  <c r="Z73" i="1" s="1"/>
  <c r="Z74" i="1" s="1"/>
  <c r="Z75" i="1" s="1"/>
  <c r="Z76" i="1" s="1"/>
  <c r="Z77" i="1" s="1"/>
  <c r="Z78" i="1" s="1"/>
  <c r="Z79" i="1" s="1"/>
  <c r="Z80" i="1" s="1"/>
  <c r="Z81" i="1" s="1"/>
  <c r="Z82" i="1" s="1"/>
  <c r="Z83" i="1" s="1"/>
  <c r="Z84" i="1" s="1"/>
  <c r="Z85" i="1" s="1"/>
  <c r="Z86" i="1" s="1"/>
  <c r="Z87" i="1" s="1"/>
  <c r="Z88" i="1" s="1"/>
  <c r="Z89" i="1" s="1"/>
  <c r="Z90" i="1" s="1"/>
  <c r="Z91" i="1" s="1"/>
  <c r="Z92" i="1" s="1"/>
  <c r="Z93" i="1" s="1"/>
  <c r="Z94" i="1" s="1"/>
  <c r="Z95" i="1" s="1"/>
  <c r="Z96" i="1" s="1"/>
  <c r="Z97" i="1" s="1"/>
  <c r="Z98" i="1" s="1"/>
  <c r="Z99" i="1" s="1"/>
  <c r="Z100" i="1" s="1"/>
  <c r="Z101" i="1" s="1"/>
  <c r="Z102" i="1" s="1"/>
  <c r="Z103" i="1" s="1"/>
  <c r="Z104" i="1" s="1"/>
  <c r="Z105" i="1" s="1"/>
  <c r="Z106" i="1" s="1"/>
  <c r="Z107" i="1" s="1"/>
  <c r="Z108" i="1" s="1"/>
  <c r="Z109" i="1" s="1"/>
  <c r="Z110" i="1" s="1"/>
  <c r="Z111" i="1" s="1"/>
  <c r="Z112" i="1" s="1"/>
  <c r="Z113" i="1" s="1"/>
  <c r="Z114" i="1" s="1"/>
  <c r="AI114" i="1" l="1"/>
  <c r="P114" i="1" s="1"/>
  <c r="AI113" i="1"/>
  <c r="P113" i="1" s="1"/>
  <c r="AI112" i="1"/>
  <c r="P112" i="1" s="1"/>
  <c r="AI111" i="1"/>
  <c r="P111" i="1" s="1"/>
  <c r="AI110" i="1"/>
  <c r="P110" i="1" s="1"/>
  <c r="AI109" i="1"/>
  <c r="P109" i="1" s="1"/>
  <c r="AI108" i="1"/>
  <c r="P108" i="1" s="1"/>
  <c r="AI107" i="1"/>
  <c r="P107" i="1" s="1"/>
  <c r="AI106" i="1"/>
  <c r="P106" i="1" s="1"/>
  <c r="AI105" i="1"/>
  <c r="P105" i="1" s="1"/>
  <c r="AI104" i="1"/>
  <c r="P104" i="1" s="1"/>
  <c r="AI103" i="1"/>
  <c r="P103" i="1" s="1"/>
  <c r="AI102" i="1"/>
  <c r="P102" i="1" s="1"/>
  <c r="AI101" i="1"/>
  <c r="P101" i="1" s="1"/>
  <c r="AI100" i="1"/>
  <c r="P100" i="1" s="1"/>
  <c r="AI99" i="1"/>
  <c r="P99" i="1" s="1"/>
  <c r="AI98" i="1"/>
  <c r="P98" i="1" s="1"/>
  <c r="AI97" i="1"/>
  <c r="P97" i="1" s="1"/>
  <c r="AI96" i="1"/>
  <c r="P96" i="1" s="1"/>
  <c r="AI95" i="1"/>
  <c r="P95" i="1" s="1"/>
  <c r="AI94" i="1"/>
  <c r="P94" i="1" s="1"/>
  <c r="AI93" i="1"/>
  <c r="P93" i="1" s="1"/>
  <c r="AI92" i="1"/>
  <c r="P92" i="1" s="1"/>
  <c r="AI91" i="1"/>
  <c r="P91" i="1" s="1"/>
  <c r="AI90" i="1"/>
  <c r="P90" i="1" s="1"/>
  <c r="AI89" i="1"/>
  <c r="P89" i="1" s="1"/>
  <c r="AI88" i="1"/>
  <c r="P88" i="1" s="1"/>
  <c r="AI87" i="1"/>
  <c r="P87" i="1" s="1"/>
  <c r="AI86" i="1"/>
  <c r="P86" i="1" s="1"/>
  <c r="AI85" i="1"/>
  <c r="P85" i="1" s="1"/>
  <c r="AI84" i="1"/>
  <c r="P84" i="1" s="1"/>
  <c r="AI83" i="1"/>
  <c r="P83" i="1" s="1"/>
  <c r="AI82" i="1"/>
  <c r="P82" i="1" s="1"/>
  <c r="AI81" i="1"/>
  <c r="P81" i="1" s="1"/>
  <c r="AI80" i="1"/>
  <c r="P80" i="1" s="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F26" i="1"/>
  <c r="I80" i="1" l="1"/>
  <c r="K80" i="1" s="1"/>
  <c r="AH113" i="1"/>
  <c r="O113" i="1" s="1"/>
  <c r="Q113" i="1" s="1"/>
  <c r="AH105" i="1"/>
  <c r="O105" i="1" s="1"/>
  <c r="Q105" i="1" s="1"/>
  <c r="AH97" i="1"/>
  <c r="O97" i="1" s="1"/>
  <c r="Q97" i="1" s="1"/>
  <c r="AH89" i="1"/>
  <c r="O89" i="1" s="1"/>
  <c r="Q89" i="1" s="1"/>
  <c r="AH81" i="1"/>
  <c r="O81" i="1" s="1"/>
  <c r="Q81" i="1" s="1"/>
  <c r="I111" i="1"/>
  <c r="K111" i="1" s="1"/>
  <c r="I103" i="1"/>
  <c r="K103" i="1" s="1"/>
  <c r="I95" i="1"/>
  <c r="K95" i="1" s="1"/>
  <c r="I87" i="1"/>
  <c r="K87" i="1" s="1"/>
  <c r="I79" i="1"/>
  <c r="AH99" i="1"/>
  <c r="O99" i="1" s="1"/>
  <c r="Q99" i="1" s="1"/>
  <c r="I81" i="1"/>
  <c r="K81" i="1" s="1"/>
  <c r="AH114" i="1"/>
  <c r="O114" i="1" s="1"/>
  <c r="Q114" i="1" s="1"/>
  <c r="I112" i="1"/>
  <c r="K112" i="1" s="1"/>
  <c r="AH112" i="1"/>
  <c r="O112" i="1" s="1"/>
  <c r="Q112" i="1" s="1"/>
  <c r="AH104" i="1"/>
  <c r="O104" i="1" s="1"/>
  <c r="Q104" i="1" s="1"/>
  <c r="AH96" i="1"/>
  <c r="O96" i="1" s="1"/>
  <c r="Q96" i="1" s="1"/>
  <c r="AH88" i="1"/>
  <c r="O88" i="1" s="1"/>
  <c r="Q88" i="1" s="1"/>
  <c r="AH80" i="1"/>
  <c r="O80" i="1" s="1"/>
  <c r="Q80" i="1" s="1"/>
  <c r="I110" i="1"/>
  <c r="K110" i="1" s="1"/>
  <c r="I102" i="1"/>
  <c r="K102" i="1" s="1"/>
  <c r="I94" i="1"/>
  <c r="K94" i="1" s="1"/>
  <c r="I86" i="1"/>
  <c r="K86" i="1" s="1"/>
  <c r="X79" i="1"/>
  <c r="AH102" i="1"/>
  <c r="O102" i="1" s="1"/>
  <c r="Q102" i="1" s="1"/>
  <c r="AH94" i="1"/>
  <c r="O94" i="1" s="1"/>
  <c r="Q94" i="1" s="1"/>
  <c r="AH86" i="1"/>
  <c r="O86" i="1" s="1"/>
  <c r="Q86" i="1" s="1"/>
  <c r="I108" i="1"/>
  <c r="K108" i="1" s="1"/>
  <c r="I92" i="1"/>
  <c r="K92" i="1" s="1"/>
  <c r="AH107" i="1"/>
  <c r="O107" i="1" s="1"/>
  <c r="Q107" i="1" s="1"/>
  <c r="AH83" i="1"/>
  <c r="O83" i="1" s="1"/>
  <c r="Q83" i="1" s="1"/>
  <c r="I113" i="1"/>
  <c r="K113" i="1" s="1"/>
  <c r="I97" i="1"/>
  <c r="K97" i="1" s="1"/>
  <c r="AH90" i="1"/>
  <c r="O90" i="1" s="1"/>
  <c r="Q90" i="1" s="1"/>
  <c r="I88" i="1"/>
  <c r="K88" i="1" s="1"/>
  <c r="AH111" i="1"/>
  <c r="O111" i="1" s="1"/>
  <c r="Q111" i="1" s="1"/>
  <c r="AH103" i="1"/>
  <c r="O103" i="1" s="1"/>
  <c r="Q103" i="1" s="1"/>
  <c r="AH95" i="1"/>
  <c r="O95" i="1" s="1"/>
  <c r="Q95" i="1" s="1"/>
  <c r="AH87" i="1"/>
  <c r="O87" i="1" s="1"/>
  <c r="Q87" i="1" s="1"/>
  <c r="AH79" i="1"/>
  <c r="O79" i="1" s="1"/>
  <c r="I109" i="1"/>
  <c r="K109" i="1" s="1"/>
  <c r="I101" i="1"/>
  <c r="K101" i="1" s="1"/>
  <c r="I93" i="1"/>
  <c r="K93" i="1" s="1"/>
  <c r="I85" i="1"/>
  <c r="K85" i="1" s="1"/>
  <c r="AH110" i="1"/>
  <c r="O110" i="1" s="1"/>
  <c r="Q110" i="1" s="1"/>
  <c r="I100" i="1"/>
  <c r="K100" i="1" s="1"/>
  <c r="I84" i="1"/>
  <c r="K84" i="1" s="1"/>
  <c r="AH91" i="1"/>
  <c r="O91" i="1" s="1"/>
  <c r="Q91" i="1" s="1"/>
  <c r="I89" i="1"/>
  <c r="K89" i="1" s="1"/>
  <c r="AH106" i="1"/>
  <c r="O106" i="1" s="1"/>
  <c r="Q106" i="1" s="1"/>
  <c r="AH82" i="1"/>
  <c r="O82" i="1" s="1"/>
  <c r="Q82" i="1" s="1"/>
  <c r="I104" i="1"/>
  <c r="K104" i="1" s="1"/>
  <c r="AH109" i="1"/>
  <c r="O109" i="1" s="1"/>
  <c r="Q109" i="1" s="1"/>
  <c r="AH101" i="1"/>
  <c r="O101" i="1" s="1"/>
  <c r="Q101" i="1" s="1"/>
  <c r="AH93" i="1"/>
  <c r="O93" i="1" s="1"/>
  <c r="Q93" i="1" s="1"/>
  <c r="AH85" i="1"/>
  <c r="O85" i="1" s="1"/>
  <c r="Q85" i="1" s="1"/>
  <c r="I107" i="1"/>
  <c r="K107" i="1" s="1"/>
  <c r="I99" i="1"/>
  <c r="K99" i="1" s="1"/>
  <c r="I91" i="1"/>
  <c r="K91" i="1" s="1"/>
  <c r="I83" i="1"/>
  <c r="K83" i="1" s="1"/>
  <c r="AH108" i="1"/>
  <c r="O108" i="1" s="1"/>
  <c r="Q108" i="1" s="1"/>
  <c r="AH100" i="1"/>
  <c r="O100" i="1" s="1"/>
  <c r="Q100" i="1" s="1"/>
  <c r="AH92" i="1"/>
  <c r="O92" i="1" s="1"/>
  <c r="Q92" i="1" s="1"/>
  <c r="AH84" i="1"/>
  <c r="O84" i="1" s="1"/>
  <c r="Q84" i="1" s="1"/>
  <c r="I114" i="1"/>
  <c r="K114" i="1" s="1"/>
  <c r="I106" i="1"/>
  <c r="K106" i="1" s="1"/>
  <c r="I98" i="1"/>
  <c r="K98" i="1" s="1"/>
  <c r="I90" i="1"/>
  <c r="K90" i="1" s="1"/>
  <c r="I82" i="1"/>
  <c r="K82" i="1" s="1"/>
  <c r="I105" i="1"/>
  <c r="K105" i="1" s="1"/>
  <c r="AH98" i="1"/>
  <c r="O98" i="1" s="1"/>
  <c r="Q98" i="1" s="1"/>
  <c r="I96" i="1"/>
  <c r="K96" i="1" s="1"/>
  <c r="G24" i="1"/>
  <c r="AK43" i="1"/>
  <c r="AJ31" i="1"/>
  <c r="AJ32" i="1" s="1"/>
  <c r="AJ35" i="1"/>
  <c r="L17" i="1"/>
  <c r="G79" i="1"/>
  <c r="N79" i="1" s="1"/>
  <c r="G26" i="1" l="1"/>
  <c r="X76" i="1" s="1"/>
  <c r="AI79" i="1"/>
  <c r="P79" i="1" s="1"/>
  <c r="Q79" i="1" s="1"/>
  <c r="J79" i="1"/>
  <c r="K79" i="1" s="1"/>
  <c r="G114" i="1"/>
  <c r="G113" i="1"/>
  <c r="N113" i="1" s="1"/>
  <c r="G112" i="1"/>
  <c r="N112" i="1" s="1"/>
  <c r="G111" i="1"/>
  <c r="N111" i="1" s="1"/>
  <c r="G110" i="1"/>
  <c r="N110" i="1" s="1"/>
  <c r="G109" i="1"/>
  <c r="N109" i="1" s="1"/>
  <c r="G108" i="1"/>
  <c r="N108" i="1" s="1"/>
  <c r="G107" i="1"/>
  <c r="N107" i="1" s="1"/>
  <c r="G106" i="1"/>
  <c r="N106" i="1" s="1"/>
  <c r="G105" i="1"/>
  <c r="N105" i="1" s="1"/>
  <c r="G104" i="1"/>
  <c r="N104" i="1" s="1"/>
  <c r="G103" i="1"/>
  <c r="N103" i="1" s="1"/>
  <c r="G102" i="1"/>
  <c r="N102" i="1" s="1"/>
  <c r="G101" i="1"/>
  <c r="N101" i="1" s="1"/>
  <c r="G100" i="1"/>
  <c r="N100" i="1" s="1"/>
  <c r="G99" i="1"/>
  <c r="N99" i="1" s="1"/>
  <c r="G98" i="1"/>
  <c r="N98" i="1" s="1"/>
  <c r="G97" i="1"/>
  <c r="N97" i="1" s="1"/>
  <c r="G96" i="1"/>
  <c r="N96" i="1" s="1"/>
  <c r="G95" i="1"/>
  <c r="N95" i="1" s="1"/>
  <c r="G94" i="1"/>
  <c r="N94" i="1" s="1"/>
  <c r="G93" i="1"/>
  <c r="N93" i="1" s="1"/>
  <c r="G92" i="1"/>
  <c r="N92" i="1" s="1"/>
  <c r="G91" i="1"/>
  <c r="N91" i="1" s="1"/>
  <c r="G90" i="1"/>
  <c r="N90" i="1" s="1"/>
  <c r="G89" i="1"/>
  <c r="N89" i="1" s="1"/>
  <c r="G88" i="1"/>
  <c r="N88" i="1" s="1"/>
  <c r="G87" i="1"/>
  <c r="N87" i="1" s="1"/>
  <c r="G86" i="1"/>
  <c r="N86" i="1" s="1"/>
  <c r="G85" i="1"/>
  <c r="N85" i="1" s="1"/>
  <c r="G84" i="1"/>
  <c r="N84" i="1" s="1"/>
  <c r="G83" i="1"/>
  <c r="N83" i="1" s="1"/>
  <c r="G82" i="1"/>
  <c r="N82" i="1" s="1"/>
  <c r="G81" i="1"/>
  <c r="N81" i="1" s="1"/>
  <c r="G80" i="1"/>
  <c r="N80" i="1" s="1"/>
  <c r="G78" i="1"/>
  <c r="G77" i="1"/>
  <c r="N77" i="1" s="1"/>
  <c r="G76" i="1"/>
  <c r="N76" i="1" s="1"/>
  <c r="G75" i="1"/>
  <c r="N75" i="1" s="1"/>
  <c r="G74" i="1"/>
  <c r="N74" i="1" s="1"/>
  <c r="G73" i="1"/>
  <c r="N73" i="1" s="1"/>
  <c r="G72" i="1"/>
  <c r="N72" i="1" s="1"/>
  <c r="G71" i="1"/>
  <c r="N71" i="1" s="1"/>
  <c r="G70" i="1"/>
  <c r="N70" i="1" s="1"/>
  <c r="G69" i="1"/>
  <c r="N69" i="1" s="1"/>
  <c r="G68" i="1"/>
  <c r="N68" i="1" s="1"/>
  <c r="G67" i="1"/>
  <c r="N67" i="1" s="1"/>
  <c r="G66" i="1"/>
  <c r="N66" i="1" s="1"/>
  <c r="G65" i="1"/>
  <c r="N65" i="1" s="1"/>
  <c r="G64" i="1"/>
  <c r="N64" i="1" s="1"/>
  <c r="G63" i="1"/>
  <c r="N63" i="1" s="1"/>
  <c r="G62" i="1"/>
  <c r="N62" i="1" s="1"/>
  <c r="G61" i="1"/>
  <c r="N61" i="1" s="1"/>
  <c r="G60" i="1"/>
  <c r="N60" i="1" s="1"/>
  <c r="G59" i="1"/>
  <c r="N59" i="1" s="1"/>
  <c r="G58" i="1"/>
  <c r="N58" i="1" s="1"/>
  <c r="G57" i="1"/>
  <c r="N57" i="1" s="1"/>
  <c r="G56" i="1"/>
  <c r="N56" i="1" s="1"/>
  <c r="G55" i="1"/>
  <c r="N55" i="1" s="1"/>
  <c r="G54" i="1"/>
  <c r="N54" i="1" s="1"/>
  <c r="G53" i="1"/>
  <c r="N53" i="1" s="1"/>
  <c r="G52" i="1"/>
  <c r="N52" i="1" s="1"/>
  <c r="G51" i="1"/>
  <c r="N51" i="1" s="1"/>
  <c r="G50" i="1"/>
  <c r="N50" i="1" s="1"/>
  <c r="G49" i="1"/>
  <c r="N49" i="1" s="1"/>
  <c r="G48" i="1"/>
  <c r="N48" i="1" s="1"/>
  <c r="G47" i="1"/>
  <c r="N47" i="1" s="1"/>
  <c r="G46" i="1"/>
  <c r="N46" i="1" s="1"/>
  <c r="G45" i="1"/>
  <c r="N45" i="1" s="1"/>
  <c r="G44" i="1"/>
  <c r="N44" i="1" s="1"/>
  <c r="G43" i="1"/>
  <c r="G42" i="1"/>
  <c r="X60" i="1" l="1"/>
  <c r="X51" i="1"/>
  <c r="X61" i="1"/>
  <c r="X75" i="1"/>
  <c r="X72" i="1"/>
  <c r="X69" i="1"/>
  <c r="X62" i="1"/>
  <c r="X47" i="1"/>
  <c r="X68" i="1"/>
  <c r="X54" i="1"/>
  <c r="X50" i="1"/>
  <c r="X77" i="1"/>
  <c r="X70" i="1"/>
  <c r="X55" i="1"/>
  <c r="X46" i="1"/>
  <c r="X64" i="1"/>
  <c r="X43" i="1"/>
  <c r="X65" i="1"/>
  <c r="X57" i="1"/>
  <c r="X71" i="1"/>
  <c r="X66" i="1"/>
  <c r="X53" i="1"/>
  <c r="X74" i="1"/>
  <c r="X49" i="1"/>
  <c r="X63" i="1"/>
  <c r="X67" i="1"/>
  <c r="X44" i="1"/>
  <c r="X73" i="1"/>
  <c r="X56" i="1"/>
  <c r="X58" i="1"/>
  <c r="X78" i="1"/>
  <c r="X52" i="1"/>
  <c r="X45" i="1"/>
  <c r="X59" i="1"/>
  <c r="X48" i="1"/>
  <c r="AI78" i="1"/>
  <c r="P78" i="1" s="1"/>
  <c r="N78" i="1"/>
  <c r="AI52" i="1"/>
  <c r="P52" i="1" s="1"/>
  <c r="AI76" i="1"/>
  <c r="P76" i="1" s="1"/>
  <c r="AI54" i="1"/>
  <c r="P54" i="1" s="1"/>
  <c r="AI70" i="1"/>
  <c r="P70" i="1" s="1"/>
  <c r="AI44" i="1"/>
  <c r="P44" i="1" s="1"/>
  <c r="AI60" i="1"/>
  <c r="P60" i="1" s="1"/>
  <c r="AI68" i="1"/>
  <c r="P68" i="1" s="1"/>
  <c r="AI45" i="1"/>
  <c r="P45" i="1" s="1"/>
  <c r="AI53" i="1"/>
  <c r="P53" i="1" s="1"/>
  <c r="AI61" i="1"/>
  <c r="P61" i="1" s="1"/>
  <c r="AI69" i="1"/>
  <c r="P69" i="1" s="1"/>
  <c r="AI77" i="1"/>
  <c r="P77" i="1" s="1"/>
  <c r="AI47" i="1"/>
  <c r="P47" i="1" s="1"/>
  <c r="AI63" i="1"/>
  <c r="P63" i="1" s="1"/>
  <c r="AI71" i="1"/>
  <c r="P71" i="1" s="1"/>
  <c r="AI62" i="1"/>
  <c r="P62" i="1" s="1"/>
  <c r="AI56" i="1"/>
  <c r="P56" i="1" s="1"/>
  <c r="AI64" i="1"/>
  <c r="P64" i="1" s="1"/>
  <c r="AI72" i="1"/>
  <c r="P72" i="1" s="1"/>
  <c r="AI46" i="1"/>
  <c r="P46" i="1" s="1"/>
  <c r="AI55" i="1"/>
  <c r="P55" i="1" s="1"/>
  <c r="AI48" i="1"/>
  <c r="P48" i="1" s="1"/>
  <c r="AI49" i="1"/>
  <c r="P49" i="1" s="1"/>
  <c r="AI57" i="1"/>
  <c r="P57" i="1" s="1"/>
  <c r="AI65" i="1"/>
  <c r="P65" i="1" s="1"/>
  <c r="AI73" i="1"/>
  <c r="P73" i="1" s="1"/>
  <c r="AI50" i="1"/>
  <c r="P50" i="1" s="1"/>
  <c r="AI58" i="1"/>
  <c r="P58" i="1" s="1"/>
  <c r="AI66" i="1"/>
  <c r="P66" i="1" s="1"/>
  <c r="AI74" i="1"/>
  <c r="P74" i="1" s="1"/>
  <c r="AI51" i="1"/>
  <c r="P51" i="1" s="1"/>
  <c r="AI59" i="1"/>
  <c r="P59" i="1" s="1"/>
  <c r="AI67" i="1"/>
  <c r="P67" i="1" s="1"/>
  <c r="AI75" i="1"/>
  <c r="P75" i="1" s="1"/>
  <c r="E16" i="1"/>
  <c r="I31" i="1" s="1"/>
  <c r="AK114" i="1"/>
  <c r="R114" i="1" s="1"/>
  <c r="AK113" i="1"/>
  <c r="R113" i="1" s="1"/>
  <c r="AK112" i="1"/>
  <c r="R112" i="1" s="1"/>
  <c r="AK111" i="1"/>
  <c r="R111" i="1" s="1"/>
  <c r="AK110" i="1"/>
  <c r="R110" i="1" s="1"/>
  <c r="AK109" i="1"/>
  <c r="R109" i="1" s="1"/>
  <c r="AK108" i="1"/>
  <c r="R108" i="1" s="1"/>
  <c r="AK107" i="1"/>
  <c r="R107" i="1" s="1"/>
  <c r="AK106" i="1"/>
  <c r="R106" i="1" s="1"/>
  <c r="AK105" i="1"/>
  <c r="R105" i="1" s="1"/>
  <c r="AK104" i="1"/>
  <c r="R104" i="1" s="1"/>
  <c r="AK103" i="1"/>
  <c r="R103" i="1" s="1"/>
  <c r="AK102" i="1"/>
  <c r="R102" i="1" s="1"/>
  <c r="AK101" i="1"/>
  <c r="R101" i="1" s="1"/>
  <c r="AK100" i="1"/>
  <c r="R100" i="1" s="1"/>
  <c r="AK99" i="1"/>
  <c r="R99" i="1" s="1"/>
  <c r="AK98" i="1"/>
  <c r="R98" i="1" s="1"/>
  <c r="AK97" i="1"/>
  <c r="R97" i="1" s="1"/>
  <c r="AK96" i="1"/>
  <c r="R96" i="1" s="1"/>
  <c r="AK95" i="1"/>
  <c r="R95" i="1" s="1"/>
  <c r="AK94" i="1"/>
  <c r="R94" i="1" s="1"/>
  <c r="AK93" i="1"/>
  <c r="R93" i="1" s="1"/>
  <c r="AK92" i="1"/>
  <c r="R92" i="1" s="1"/>
  <c r="AK91" i="1"/>
  <c r="R91" i="1" s="1"/>
  <c r="AK90" i="1"/>
  <c r="R90" i="1" s="1"/>
  <c r="AK89" i="1"/>
  <c r="R89" i="1" s="1"/>
  <c r="AK88" i="1"/>
  <c r="R88" i="1" s="1"/>
  <c r="AK87" i="1"/>
  <c r="R87" i="1" s="1"/>
  <c r="AK86" i="1"/>
  <c r="R86" i="1" s="1"/>
  <c r="AK85" i="1"/>
  <c r="R85" i="1" s="1"/>
  <c r="AK84" i="1"/>
  <c r="R84" i="1" s="1"/>
  <c r="AK83" i="1"/>
  <c r="R83" i="1" s="1"/>
  <c r="AK82" i="1"/>
  <c r="R82" i="1" s="1"/>
  <c r="AK81" i="1"/>
  <c r="R81" i="1" s="1"/>
  <c r="AK80" i="1"/>
  <c r="R80" i="1" s="1"/>
  <c r="AK79" i="1"/>
  <c r="R79" i="1" s="1"/>
  <c r="AK78" i="1"/>
  <c r="R78" i="1" s="1"/>
  <c r="AK77" i="1"/>
  <c r="R77" i="1" s="1"/>
  <c r="AK76" i="1"/>
  <c r="R76" i="1" s="1"/>
  <c r="AK75" i="1"/>
  <c r="R75" i="1" s="1"/>
  <c r="AK74" i="1"/>
  <c r="R74" i="1" s="1"/>
  <c r="AK73" i="1"/>
  <c r="R73" i="1" s="1"/>
  <c r="AK72" i="1"/>
  <c r="R72" i="1" s="1"/>
  <c r="AK71" i="1"/>
  <c r="R71" i="1" s="1"/>
  <c r="AK70" i="1"/>
  <c r="R70" i="1" s="1"/>
  <c r="AK69" i="1"/>
  <c r="R69" i="1" s="1"/>
  <c r="AK68" i="1"/>
  <c r="R68" i="1" s="1"/>
  <c r="AK67" i="1"/>
  <c r="R67" i="1" s="1"/>
  <c r="AK66" i="1"/>
  <c r="R66" i="1" s="1"/>
  <c r="AK65" i="1"/>
  <c r="R65" i="1" s="1"/>
  <c r="AK64" i="1"/>
  <c r="R64" i="1" s="1"/>
  <c r="AK63" i="1"/>
  <c r="R63" i="1" s="1"/>
  <c r="AK62" i="1"/>
  <c r="R62" i="1" s="1"/>
  <c r="AK61" i="1"/>
  <c r="R61" i="1" s="1"/>
  <c r="AK60" i="1"/>
  <c r="R60" i="1" s="1"/>
  <c r="AK59" i="1"/>
  <c r="R59" i="1" s="1"/>
  <c r="AK58" i="1"/>
  <c r="R58" i="1" s="1"/>
  <c r="AK57" i="1"/>
  <c r="R57" i="1" s="1"/>
  <c r="AK56" i="1"/>
  <c r="R56" i="1" s="1"/>
  <c r="AK55" i="1"/>
  <c r="R55" i="1" s="1"/>
  <c r="AK54" i="1"/>
  <c r="R54" i="1" s="1"/>
  <c r="AK53" i="1"/>
  <c r="R53" i="1" s="1"/>
  <c r="AK52" i="1"/>
  <c r="R52" i="1" s="1"/>
  <c r="AK51" i="1"/>
  <c r="R51" i="1" s="1"/>
  <c r="AK50" i="1"/>
  <c r="R50" i="1" s="1"/>
  <c r="AK49" i="1"/>
  <c r="R49" i="1" s="1"/>
  <c r="AK48" i="1"/>
  <c r="R48" i="1" s="1"/>
  <c r="AK47" i="1"/>
  <c r="R47" i="1" s="1"/>
  <c r="AK46" i="1"/>
  <c r="R46" i="1" s="1"/>
  <c r="AK45" i="1"/>
  <c r="R45" i="1" s="1"/>
  <c r="AK44" i="1"/>
  <c r="R44" i="1" s="1"/>
  <c r="R43" i="1"/>
  <c r="Z38" i="1"/>
  <c r="F42" i="1" l="1"/>
  <c r="R115" i="1"/>
  <c r="D42" i="1" l="1"/>
  <c r="V8" i="1"/>
  <c r="E23" i="1" s="1"/>
  <c r="E29" i="1"/>
  <c r="V42" i="1" l="1"/>
  <c r="E42" i="1"/>
  <c r="I33" i="1"/>
  <c r="I34" i="1" s="1"/>
  <c r="E27" i="1"/>
  <c r="C43" i="1"/>
  <c r="AO116" i="1" l="1"/>
  <c r="U44" i="1"/>
  <c r="X103" i="1" l="1"/>
  <c r="X104" i="1"/>
  <c r="X105" i="1"/>
  <c r="X106" i="1"/>
  <c r="X107" i="1"/>
  <c r="X108" i="1"/>
  <c r="X109" i="1"/>
  <c r="X110" i="1"/>
  <c r="X111" i="1"/>
  <c r="X112" i="1"/>
  <c r="X113" i="1"/>
  <c r="X114" i="1"/>
  <c r="AM42" i="1" l="1"/>
  <c r="AN42" i="1" s="1"/>
  <c r="AO42" i="1" s="1"/>
  <c r="AM43" i="1" l="1"/>
  <c r="AN43" i="1" s="1"/>
  <c r="AO43" i="1" l="1"/>
  <c r="AO44" i="1" l="1"/>
  <c r="AO45" i="1" s="1"/>
  <c r="AO46" i="1" s="1"/>
  <c r="AO47" i="1" s="1"/>
  <c r="AO48" i="1" s="1"/>
  <c r="AO49" i="1" s="1"/>
  <c r="AO50" i="1" s="1"/>
  <c r="AO51" i="1" s="1"/>
  <c r="AO52" i="1" s="1"/>
  <c r="AO53" i="1" s="1"/>
  <c r="AO54" i="1" s="1"/>
  <c r="AO55" i="1" s="1"/>
  <c r="AO56" i="1" s="1"/>
  <c r="AO57" i="1" s="1"/>
  <c r="AO58" i="1" s="1"/>
  <c r="AO59" i="1" s="1"/>
  <c r="AO60" i="1" s="1"/>
  <c r="AO61" i="1" s="1"/>
  <c r="AO62" i="1" s="1"/>
  <c r="AO63" i="1" s="1"/>
  <c r="AO64" i="1" s="1"/>
  <c r="AO65" i="1" s="1"/>
  <c r="AO66" i="1" s="1"/>
  <c r="AO67" i="1" s="1"/>
  <c r="AO68" i="1" s="1"/>
  <c r="AO69" i="1" s="1"/>
  <c r="AO70" i="1" s="1"/>
  <c r="AO71" i="1" s="1"/>
  <c r="AO72" i="1" s="1"/>
  <c r="AO73" i="1" s="1"/>
  <c r="AO74" i="1" s="1"/>
  <c r="AO75" i="1" s="1"/>
  <c r="AO76" i="1" s="1"/>
  <c r="AO77" i="1" s="1"/>
  <c r="AO78" i="1" s="1"/>
  <c r="AO79" i="1" s="1"/>
  <c r="U43" i="1"/>
  <c r="U45" i="1"/>
  <c r="U46" i="1"/>
  <c r="U47" i="1"/>
  <c r="U48" i="1"/>
  <c r="U49" i="1"/>
  <c r="U50" i="1"/>
  <c r="U51" i="1"/>
  <c r="U52" i="1"/>
  <c r="U53" i="1"/>
  <c r="U54" i="1"/>
  <c r="AO80" i="1" l="1"/>
  <c r="U14" i="1"/>
  <c r="Y19" i="1"/>
  <c r="Y21" i="1" s="1"/>
  <c r="Y22" i="1" s="1"/>
  <c r="Y23" i="1" s="1"/>
  <c r="Y24" i="1" s="1"/>
  <c r="Y25" i="1" s="1"/>
  <c r="Y26" i="1" s="1"/>
  <c r="Y27" i="1" s="1"/>
  <c r="Y29" i="1" s="1"/>
  <c r="Y30" i="1" s="1"/>
  <c r="Y34" i="1" s="1"/>
  <c r="Z25" i="1"/>
  <c r="Z34" i="1"/>
  <c r="C42" i="1"/>
  <c r="AD43" i="1" s="1"/>
  <c r="N43" i="1" s="1"/>
  <c r="U56" i="1"/>
  <c r="U58" i="1"/>
  <c r="U60" i="1"/>
  <c r="U62" i="1"/>
  <c r="U64" i="1"/>
  <c r="U66" i="1"/>
  <c r="U68" i="1"/>
  <c r="U70" i="1"/>
  <c r="U72" i="1"/>
  <c r="U74" i="1"/>
  <c r="U76"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77" i="1"/>
  <c r="U73" i="1"/>
  <c r="U69" i="1"/>
  <c r="U65" i="1"/>
  <c r="U61" i="1"/>
  <c r="U57" i="1"/>
  <c r="U75" i="1"/>
  <c r="U71" i="1"/>
  <c r="U67" i="1"/>
  <c r="U63" i="1"/>
  <c r="U59" i="1"/>
  <c r="U55" i="1"/>
  <c r="U115" i="1" l="1"/>
  <c r="AS42" i="1"/>
  <c r="AR42" i="1"/>
  <c r="AR43" i="1"/>
  <c r="AS43" i="1"/>
  <c r="AS44" i="1" s="1"/>
  <c r="AS45" i="1" s="1"/>
  <c r="AS46" i="1" s="1"/>
  <c r="AS47" i="1" s="1"/>
  <c r="AS48" i="1" s="1"/>
  <c r="AS49" i="1" s="1"/>
  <c r="AS50" i="1" s="1"/>
  <c r="AS51" i="1" s="1"/>
  <c r="AS52" i="1" s="1"/>
  <c r="AS53" i="1" s="1"/>
  <c r="AS54" i="1" s="1"/>
  <c r="AS55" i="1" s="1"/>
  <c r="AS56" i="1" s="1"/>
  <c r="AS57" i="1" s="1"/>
  <c r="AS58" i="1" s="1"/>
  <c r="AS59" i="1" s="1"/>
  <c r="AS60" i="1" s="1"/>
  <c r="AS61" i="1" s="1"/>
  <c r="AS62" i="1" s="1"/>
  <c r="AS63" i="1" s="1"/>
  <c r="AS64" i="1" s="1"/>
  <c r="AS65" i="1" s="1"/>
  <c r="AS66" i="1" s="1"/>
  <c r="AS67" i="1" s="1"/>
  <c r="AS68" i="1" s="1"/>
  <c r="AS69" i="1" s="1"/>
  <c r="AS70" i="1" s="1"/>
  <c r="AS71" i="1" s="1"/>
  <c r="AS72" i="1" s="1"/>
  <c r="AS73" i="1" s="1"/>
  <c r="AS74" i="1" s="1"/>
  <c r="AS75" i="1" s="1"/>
  <c r="AS76" i="1" s="1"/>
  <c r="AS77" i="1" s="1"/>
  <c r="AS78" i="1" s="1"/>
  <c r="AS79" i="1" s="1"/>
  <c r="AS80" i="1" s="1"/>
  <c r="AS81" i="1" s="1"/>
  <c r="AS82" i="1" s="1"/>
  <c r="AS83" i="1" s="1"/>
  <c r="AS84" i="1" s="1"/>
  <c r="AS85" i="1" s="1"/>
  <c r="AS86" i="1" s="1"/>
  <c r="AS87" i="1" s="1"/>
  <c r="AS88" i="1" s="1"/>
  <c r="AS89" i="1" s="1"/>
  <c r="AS90" i="1" s="1"/>
  <c r="AS91" i="1" s="1"/>
  <c r="AS92" i="1" s="1"/>
  <c r="AS93" i="1" s="1"/>
  <c r="AS94" i="1" s="1"/>
  <c r="AS95" i="1" s="1"/>
  <c r="AS96" i="1" s="1"/>
  <c r="AS97" i="1" s="1"/>
  <c r="AS98" i="1" s="1"/>
  <c r="AS99" i="1" s="1"/>
  <c r="AS100" i="1" s="1"/>
  <c r="AS101" i="1" s="1"/>
  <c r="AS102" i="1" s="1"/>
  <c r="AS103" i="1" s="1"/>
  <c r="AS104" i="1" s="1"/>
  <c r="AS105" i="1" s="1"/>
  <c r="AS106" i="1" s="1"/>
  <c r="AS107" i="1" s="1"/>
  <c r="AS108" i="1" s="1"/>
  <c r="AS109" i="1" s="1"/>
  <c r="AS110" i="1" s="1"/>
  <c r="AS111" i="1" s="1"/>
  <c r="AS112" i="1" s="1"/>
  <c r="AS113" i="1" s="1"/>
  <c r="AS114" i="1" s="1"/>
  <c r="AS115" i="1" s="1"/>
  <c r="AP116" i="1" s="1"/>
  <c r="AR44" i="1"/>
  <c r="AM44" i="1"/>
  <c r="AN44" i="1" s="1"/>
  <c r="AO81" i="1"/>
  <c r="Z42" i="1"/>
  <c r="AI43" i="1" s="1"/>
  <c r="P43" i="1" s="1"/>
  <c r="Y43" i="1"/>
  <c r="H42" i="1"/>
  <c r="F43" i="1" s="1"/>
  <c r="U41" i="1"/>
  <c r="AB43" i="1" l="1"/>
  <c r="AH43" i="1"/>
  <c r="O43" i="1" s="1"/>
  <c r="D43" i="1"/>
  <c r="C44" i="1"/>
  <c r="AM45" i="1" s="1"/>
  <c r="AN45" i="1" s="1"/>
  <c r="AO82" i="1"/>
  <c r="X42" i="1"/>
  <c r="M43" i="1" l="1"/>
  <c r="L43" i="1" s="1"/>
  <c r="Q43" i="1"/>
  <c r="AR45" i="1"/>
  <c r="C45" i="1" s="1"/>
  <c r="AM46" i="1" s="1"/>
  <c r="AN46" i="1" s="1"/>
  <c r="Y44" i="1"/>
  <c r="AO83" i="1"/>
  <c r="AR46" i="1" l="1"/>
  <c r="Y45" i="1"/>
  <c r="AO84" i="1"/>
  <c r="C46" i="1" l="1"/>
  <c r="AO85" i="1"/>
  <c r="Y46" i="1" l="1"/>
  <c r="AM47" i="1"/>
  <c r="AN47" i="1" s="1"/>
  <c r="AR47" i="1"/>
  <c r="AO86" i="1"/>
  <c r="C47" i="1" l="1"/>
  <c r="AR48" i="1" s="1"/>
  <c r="AO87" i="1"/>
  <c r="C48" i="1" l="1"/>
  <c r="AM48" i="1"/>
  <c r="AN48" i="1" s="1"/>
  <c r="Y47" i="1"/>
  <c r="AO88" i="1"/>
  <c r="AM49" i="1" l="1"/>
  <c r="AN49" i="1" s="1"/>
  <c r="Y48" i="1"/>
  <c r="AR49" i="1"/>
  <c r="AO89" i="1"/>
  <c r="C49" i="1" l="1"/>
  <c r="AO90" i="1"/>
  <c r="AO91" i="1" s="1"/>
  <c r="AO92" i="1" s="1"/>
  <c r="AO93" i="1" s="1"/>
  <c r="AO94" i="1" s="1"/>
  <c r="AO95" i="1" s="1"/>
  <c r="AO96" i="1" s="1"/>
  <c r="AO97" i="1" s="1"/>
  <c r="AO98" i="1" s="1"/>
  <c r="AO99" i="1" s="1"/>
  <c r="AO100" i="1" s="1"/>
  <c r="AO101" i="1" s="1"/>
  <c r="AO102" i="1" s="1"/>
  <c r="AO103" i="1" s="1"/>
  <c r="AO104" i="1" s="1"/>
  <c r="AO105" i="1" s="1"/>
  <c r="AO106" i="1" s="1"/>
  <c r="AO107" i="1" s="1"/>
  <c r="AO108" i="1" s="1"/>
  <c r="AO109" i="1" s="1"/>
  <c r="AO110" i="1" s="1"/>
  <c r="AO111" i="1" s="1"/>
  <c r="AO112" i="1" s="1"/>
  <c r="AO113" i="1" s="1"/>
  <c r="AO114" i="1" s="1"/>
  <c r="AM50" i="1" l="1"/>
  <c r="AN50" i="1" s="1"/>
  <c r="Y49" i="1"/>
  <c r="AR50" i="1"/>
  <c r="C50" i="1" l="1"/>
  <c r="AM51" i="1" l="1"/>
  <c r="AN51" i="1" s="1"/>
  <c r="Y50" i="1"/>
  <c r="AR51" i="1"/>
  <c r="C51" i="1" l="1"/>
  <c r="AM52" i="1" l="1"/>
  <c r="AN52" i="1" s="1"/>
  <c r="Y51" i="1"/>
  <c r="AR52" i="1"/>
  <c r="C52" i="1" l="1"/>
  <c r="Y52" i="1" l="1"/>
  <c r="AM53" i="1"/>
  <c r="AN53" i="1" s="1"/>
  <c r="AR53" i="1"/>
  <c r="C53" i="1" l="1"/>
  <c r="Y53" i="1" l="1"/>
  <c r="AM54" i="1"/>
  <c r="AN54" i="1" s="1"/>
  <c r="AR54" i="1"/>
  <c r="C54" i="1" l="1"/>
  <c r="AR55" i="1" s="1"/>
  <c r="C55" i="1" l="1"/>
  <c r="AM55" i="1"/>
  <c r="AN55" i="1" s="1"/>
  <c r="Y54" i="1"/>
  <c r="Y55" i="1" l="1"/>
  <c r="AM56" i="1"/>
  <c r="AN56" i="1" s="1"/>
  <c r="AR56" i="1"/>
  <c r="C56" i="1" l="1"/>
  <c r="Y56" i="1" l="1"/>
  <c r="AM57" i="1"/>
  <c r="AN57" i="1" s="1"/>
  <c r="AR57" i="1"/>
  <c r="C57" i="1" l="1"/>
  <c r="AR58" i="1" s="1"/>
  <c r="C58" i="1" l="1"/>
  <c r="AM58" i="1"/>
  <c r="AN58" i="1" s="1"/>
  <c r="Y57" i="1"/>
  <c r="AM59" i="1" l="1"/>
  <c r="AN59" i="1" s="1"/>
  <c r="Y58" i="1"/>
  <c r="AR59" i="1"/>
  <c r="C59" i="1" l="1"/>
  <c r="AR60" i="1" s="1"/>
  <c r="C60" i="1" l="1"/>
  <c r="Y59" i="1"/>
  <c r="AM60" i="1"/>
  <c r="AN60" i="1" s="1"/>
  <c r="AM61" i="1" l="1"/>
  <c r="AN61" i="1" s="1"/>
  <c r="Y60" i="1"/>
  <c r="AR61" i="1"/>
  <c r="C61" i="1" l="1"/>
  <c r="Y61" i="1" l="1"/>
  <c r="AM62" i="1"/>
  <c r="AN62" i="1" s="1"/>
  <c r="AR62" i="1"/>
  <c r="C62" i="1" l="1"/>
  <c r="AM63" i="1" l="1"/>
  <c r="AN63" i="1" s="1"/>
  <c r="Y62" i="1"/>
  <c r="AR63" i="1"/>
  <c r="C63" i="1" l="1"/>
  <c r="Y63" i="1" l="1"/>
  <c r="AM64" i="1"/>
  <c r="AN64" i="1" s="1"/>
  <c r="AR64" i="1"/>
  <c r="C64" i="1" l="1"/>
  <c r="Y64" i="1" l="1"/>
  <c r="AM65" i="1"/>
  <c r="AN65" i="1" s="1"/>
  <c r="AR65" i="1"/>
  <c r="C65" i="1" l="1"/>
  <c r="Y65" i="1" l="1"/>
  <c r="AM66" i="1"/>
  <c r="AN66" i="1" s="1"/>
  <c r="AR66" i="1"/>
  <c r="C66" i="1" l="1"/>
  <c r="Y66" i="1" l="1"/>
  <c r="AM67" i="1"/>
  <c r="AN67" i="1" s="1"/>
  <c r="AR67" i="1"/>
  <c r="C67" i="1" l="1"/>
  <c r="AM68" i="1" l="1"/>
  <c r="AN68" i="1" s="1"/>
  <c r="Y67" i="1"/>
  <c r="AR68" i="1"/>
  <c r="C68" i="1" l="1"/>
  <c r="AM69" i="1" l="1"/>
  <c r="AN69" i="1" s="1"/>
  <c r="Y68" i="1"/>
  <c r="AR69" i="1"/>
  <c r="C69" i="1" l="1"/>
  <c r="Y69" i="1" l="1"/>
  <c r="AM70" i="1"/>
  <c r="AN70" i="1" s="1"/>
  <c r="AR70" i="1"/>
  <c r="C70" i="1" l="1"/>
  <c r="Y70" i="1" l="1"/>
  <c r="AM71" i="1"/>
  <c r="AN71" i="1" s="1"/>
  <c r="AR71" i="1"/>
  <c r="C71" i="1" l="1"/>
  <c r="Y71" i="1" l="1"/>
  <c r="AM72" i="1"/>
  <c r="AN72" i="1" s="1"/>
  <c r="AR72" i="1"/>
  <c r="C72" i="1" l="1"/>
  <c r="AM73" i="1" l="1"/>
  <c r="AN73" i="1" s="1"/>
  <c r="Y72" i="1"/>
  <c r="AR73" i="1"/>
  <c r="C73" i="1" l="1"/>
  <c r="AM74" i="1" l="1"/>
  <c r="AN74" i="1" s="1"/>
  <c r="Y73" i="1"/>
  <c r="AR74" i="1"/>
  <c r="C74" i="1" l="1"/>
  <c r="AM75" i="1" l="1"/>
  <c r="AN75" i="1" s="1"/>
  <c r="Y74" i="1"/>
  <c r="AR75" i="1"/>
  <c r="C75" i="1" l="1"/>
  <c r="AM76" i="1" l="1"/>
  <c r="AN76" i="1" s="1"/>
  <c r="Y75" i="1"/>
  <c r="AR76" i="1"/>
  <c r="C76" i="1" l="1"/>
  <c r="Y76" i="1" l="1"/>
  <c r="AM77" i="1"/>
  <c r="AN77" i="1" s="1"/>
  <c r="AR77" i="1"/>
  <c r="C77" i="1" l="1"/>
  <c r="AM78" i="1" l="1"/>
  <c r="AN78" i="1" s="1"/>
  <c r="Y77" i="1"/>
  <c r="AR78" i="1"/>
  <c r="C78" i="1" l="1"/>
  <c r="AM79" i="1" l="1"/>
  <c r="AN79" i="1" s="1"/>
  <c r="Y78" i="1"/>
  <c r="AR79" i="1"/>
  <c r="C79" i="1" l="1"/>
  <c r="AM80" i="1" l="1"/>
  <c r="AN80" i="1" s="1"/>
  <c r="Y79" i="1"/>
  <c r="AR80" i="1"/>
  <c r="C80" i="1" l="1"/>
  <c r="AM81" i="1" l="1"/>
  <c r="AN81" i="1" s="1"/>
  <c r="X80" i="1"/>
  <c r="Y80" i="1"/>
  <c r="AR81" i="1"/>
  <c r="C81" i="1" l="1"/>
  <c r="X81" i="1" l="1"/>
  <c r="Y81" i="1"/>
  <c r="AM82" i="1"/>
  <c r="AN82" i="1" s="1"/>
  <c r="AR82" i="1"/>
  <c r="C82" i="1" l="1"/>
  <c r="X82" i="1" l="1"/>
  <c r="Y82" i="1"/>
  <c r="AM83" i="1"/>
  <c r="AN83" i="1" s="1"/>
  <c r="AR83" i="1"/>
  <c r="C83" i="1" l="1"/>
  <c r="Y83" i="1" l="1"/>
  <c r="AM84" i="1"/>
  <c r="AN84" i="1" s="1"/>
  <c r="X83" i="1"/>
  <c r="AR84" i="1"/>
  <c r="C84" i="1" l="1"/>
  <c r="X84" i="1" l="1"/>
  <c r="AM85" i="1"/>
  <c r="AN85" i="1" s="1"/>
  <c r="Y84" i="1"/>
  <c r="AR85" i="1"/>
  <c r="C85" i="1" l="1"/>
  <c r="AM86" i="1" l="1"/>
  <c r="AN86" i="1" s="1"/>
  <c r="Y85" i="1"/>
  <c r="X85" i="1"/>
  <c r="AR86" i="1"/>
  <c r="C86" i="1" l="1"/>
  <c r="AM87" i="1" l="1"/>
  <c r="AN87" i="1" s="1"/>
  <c r="X86" i="1"/>
  <c r="Y86" i="1"/>
  <c r="AR87" i="1"/>
  <c r="C87" i="1" l="1"/>
  <c r="AM88" i="1" l="1"/>
  <c r="AN88" i="1" s="1"/>
  <c r="Y87" i="1"/>
  <c r="X87" i="1"/>
  <c r="AR88" i="1"/>
  <c r="C88" i="1" l="1"/>
  <c r="Y88" i="1" l="1"/>
  <c r="X88" i="1"/>
  <c r="AM89" i="1"/>
  <c r="AN89" i="1" s="1"/>
  <c r="AR89" i="1"/>
  <c r="C89" i="1" l="1"/>
  <c r="Y89" i="1" l="1"/>
  <c r="AM90" i="1"/>
  <c r="AN90" i="1" s="1"/>
  <c r="X89" i="1"/>
  <c r="AR90" i="1"/>
  <c r="C90" i="1" s="1"/>
  <c r="AR91" i="1" l="1"/>
  <c r="C91" i="1" s="1"/>
  <c r="AM91" i="1"/>
  <c r="AN91" i="1" s="1"/>
  <c r="Y90" i="1"/>
  <c r="X90" i="1"/>
  <c r="AM92" i="1" l="1"/>
  <c r="AN92" i="1" s="1"/>
  <c r="AR92" i="1"/>
  <c r="C92" i="1" s="1"/>
  <c r="X91" i="1"/>
  <c r="Y91" i="1"/>
  <c r="AR93" i="1" l="1"/>
  <c r="C93" i="1" s="1"/>
  <c r="AM93" i="1"/>
  <c r="AN93" i="1" s="1"/>
  <c r="X92" i="1"/>
  <c r="Y92" i="1"/>
  <c r="AM94" i="1" l="1"/>
  <c r="AN94" i="1" s="1"/>
  <c r="AR94" i="1"/>
  <c r="C94" i="1" s="1"/>
  <c r="X93" i="1"/>
  <c r="Y93" i="1"/>
  <c r="AM95" i="1" l="1"/>
  <c r="AN95" i="1" s="1"/>
  <c r="AR95" i="1"/>
  <c r="C95" i="1" s="1"/>
  <c r="Y94" i="1"/>
  <c r="X94" i="1"/>
  <c r="AM96" i="1" l="1"/>
  <c r="AN96" i="1" s="1"/>
  <c r="AR96" i="1"/>
  <c r="C96" i="1" s="1"/>
  <c r="Y95" i="1"/>
  <c r="X95" i="1"/>
  <c r="AR97" i="1" l="1"/>
  <c r="C97" i="1" s="1"/>
  <c r="AM97" i="1"/>
  <c r="AN97" i="1" s="1"/>
  <c r="X96" i="1"/>
  <c r="Y96" i="1"/>
  <c r="AM98" i="1" l="1"/>
  <c r="AN98" i="1" s="1"/>
  <c r="AR98" i="1"/>
  <c r="C98" i="1" s="1"/>
  <c r="X97" i="1"/>
  <c r="Y97" i="1"/>
  <c r="AM99" i="1" l="1"/>
  <c r="AN99" i="1" s="1"/>
  <c r="AR99" i="1"/>
  <c r="C99" i="1" s="1"/>
  <c r="X98" i="1"/>
  <c r="Y98" i="1"/>
  <c r="AR100" i="1" l="1"/>
  <c r="C100" i="1" s="1"/>
  <c r="AM100" i="1"/>
  <c r="AN100" i="1" s="1"/>
  <c r="X99" i="1"/>
  <c r="Y99" i="1"/>
  <c r="AR101" i="1" l="1"/>
  <c r="C101" i="1" s="1"/>
  <c r="AM101" i="1"/>
  <c r="AN101" i="1" s="1"/>
  <c r="Y100" i="1"/>
  <c r="X100" i="1"/>
  <c r="AM102" i="1" l="1"/>
  <c r="AN102" i="1" s="1"/>
  <c r="AR102" i="1"/>
  <c r="C102" i="1" s="1"/>
  <c r="X101" i="1"/>
  <c r="Y101" i="1"/>
  <c r="AM103" i="1" l="1"/>
  <c r="AN103" i="1" s="1"/>
  <c r="AR103" i="1"/>
  <c r="C103" i="1" s="1"/>
  <c r="Y102" i="1"/>
  <c r="X102" i="1"/>
  <c r="E30" i="1" l="1"/>
  <c r="V43" i="1"/>
  <c r="AM104" i="1"/>
  <c r="AN104" i="1" s="1"/>
  <c r="AR104" i="1"/>
  <c r="C104" i="1" s="1"/>
  <c r="Y103" i="1"/>
  <c r="AR105" i="1" l="1"/>
  <c r="C105" i="1" s="1"/>
  <c r="AM105" i="1"/>
  <c r="AN105" i="1" s="1"/>
  <c r="Y104" i="1"/>
  <c r="AR106" i="1" l="1"/>
  <c r="C106" i="1" s="1"/>
  <c r="AM106" i="1"/>
  <c r="AN106" i="1" s="1"/>
  <c r="Y105" i="1"/>
  <c r="AM107" i="1" l="1"/>
  <c r="AN107" i="1" s="1"/>
  <c r="AR107" i="1"/>
  <c r="C107" i="1" s="1"/>
  <c r="Y106" i="1"/>
  <c r="AM108" i="1" l="1"/>
  <c r="AN108" i="1" s="1"/>
  <c r="AR108" i="1"/>
  <c r="C108" i="1" s="1"/>
  <c r="Y107" i="1"/>
  <c r="AR109" i="1" l="1"/>
  <c r="C109" i="1" s="1"/>
  <c r="AM109" i="1"/>
  <c r="AN109" i="1" s="1"/>
  <c r="Y108" i="1"/>
  <c r="AR110" i="1" l="1"/>
  <c r="C110" i="1" s="1"/>
  <c r="AM110" i="1"/>
  <c r="AN110" i="1" s="1"/>
  <c r="Y109" i="1"/>
  <c r="AM111" i="1" l="1"/>
  <c r="AN111" i="1" s="1"/>
  <c r="AR111" i="1"/>
  <c r="C111" i="1" s="1"/>
  <c r="Y110" i="1"/>
  <c r="AM112" i="1" l="1"/>
  <c r="AN112" i="1" s="1"/>
  <c r="AR112" i="1"/>
  <c r="C112" i="1" s="1"/>
  <c r="Y111" i="1"/>
  <c r="AR113" i="1" l="1"/>
  <c r="C113" i="1" s="1"/>
  <c r="AM113" i="1"/>
  <c r="AN113" i="1" s="1"/>
  <c r="Y112" i="1"/>
  <c r="AR114" i="1" l="1"/>
  <c r="C114" i="1" s="1"/>
  <c r="N114" i="1" s="1"/>
  <c r="AM114" i="1"/>
  <c r="AN114" i="1" s="1"/>
  <c r="Y113" i="1"/>
  <c r="AR115" i="1" l="1"/>
  <c r="Y114" i="1"/>
  <c r="I43" i="1" l="1"/>
  <c r="AC43" i="1"/>
  <c r="AD44" i="1" s="1"/>
  <c r="T43" i="1" l="1"/>
  <c r="K43" i="1"/>
  <c r="E43" i="1"/>
  <c r="V44" i="1"/>
  <c r="H43" i="1"/>
  <c r="F44" i="1" s="1"/>
  <c r="AB44" i="1" l="1"/>
  <c r="AH44" i="1"/>
  <c r="D44" i="1"/>
  <c r="O44" i="1" l="1"/>
  <c r="M44" i="1" l="1"/>
  <c r="AC44" i="1" s="1"/>
  <c r="AD45" i="1" s="1"/>
  <c r="Q44" i="1"/>
  <c r="I44" i="1" l="1"/>
  <c r="H44" i="1" s="1"/>
  <c r="L44" i="1"/>
  <c r="V45" i="1"/>
  <c r="K44" i="1" l="1"/>
  <c r="E44" i="1"/>
  <c r="T44" i="1"/>
  <c r="F45" i="1"/>
  <c r="AB45" i="1" l="1"/>
  <c r="AH45" i="1"/>
  <c r="D45" i="1"/>
  <c r="O45" i="1" l="1"/>
  <c r="M45" i="1" l="1"/>
  <c r="AC45" i="1" s="1"/>
  <c r="AD46" i="1" s="1"/>
  <c r="Q45" i="1"/>
  <c r="I45" i="1" l="1"/>
  <c r="H45" i="1" s="1"/>
  <c r="L45" i="1"/>
  <c r="V46" i="1"/>
  <c r="K45" i="1" l="1"/>
  <c r="E45" i="1"/>
  <c r="T45" i="1"/>
  <c r="F46" i="1"/>
  <c r="AB46" i="1" l="1"/>
  <c r="AH46" i="1"/>
  <c r="D46" i="1"/>
  <c r="O46" i="1" l="1"/>
  <c r="M46" i="1" l="1"/>
  <c r="AC46" i="1" s="1"/>
  <c r="AD47" i="1" s="1"/>
  <c r="Q46" i="1"/>
  <c r="I46" i="1" l="1"/>
  <c r="H46" i="1" s="1"/>
  <c r="L46" i="1"/>
  <c r="V47" i="1"/>
  <c r="K46" i="1" l="1"/>
  <c r="E46" i="1"/>
  <c r="T46" i="1"/>
  <c r="F47" i="1"/>
  <c r="AB47" i="1" l="1"/>
  <c r="AH47" i="1"/>
  <c r="D47" i="1"/>
  <c r="O47" i="1" l="1"/>
  <c r="M47" i="1" l="1"/>
  <c r="AC47" i="1" s="1"/>
  <c r="AD48" i="1" s="1"/>
  <c r="Q47" i="1"/>
  <c r="I47" i="1" l="1"/>
  <c r="H47" i="1" s="1"/>
  <c r="L47" i="1"/>
  <c r="V48" i="1"/>
  <c r="K47" i="1" l="1"/>
  <c r="E47" i="1"/>
  <c r="T47" i="1"/>
  <c r="F48" i="1"/>
  <c r="AB48" i="1" l="1"/>
  <c r="AH48" i="1"/>
  <c r="D48" i="1"/>
  <c r="O48" i="1" l="1"/>
  <c r="M48" i="1" l="1"/>
  <c r="AC48" i="1" s="1"/>
  <c r="AD49" i="1" s="1"/>
  <c r="Q48" i="1"/>
  <c r="I48" i="1" l="1"/>
  <c r="L48" i="1"/>
  <c r="V49" i="1"/>
  <c r="K48" i="1" l="1"/>
  <c r="E48" i="1"/>
  <c r="T48" i="1"/>
  <c r="H48" i="1"/>
  <c r="F49" i="1" s="1"/>
  <c r="AB49" i="1" l="1"/>
  <c r="AH49" i="1"/>
  <c r="O49" i="1" s="1"/>
  <c r="D49" i="1"/>
  <c r="M49" i="1" l="1"/>
  <c r="Q49" i="1"/>
  <c r="V50" i="1"/>
  <c r="I49" i="1" l="1"/>
  <c r="T49" i="1" s="1"/>
  <c r="L49" i="1"/>
  <c r="AC49" i="1"/>
  <c r="AD50" i="1" s="1"/>
  <c r="K49" i="1" l="1"/>
  <c r="H49" i="1"/>
  <c r="F50" i="1" s="1"/>
  <c r="E49" i="1"/>
  <c r="AB50" i="1" l="1"/>
  <c r="D50" i="1"/>
  <c r="AH50" i="1"/>
  <c r="O50" i="1" s="1"/>
  <c r="V51" i="1"/>
  <c r="M50" i="1" l="1"/>
  <c r="Q50" i="1"/>
  <c r="I50" i="1" l="1"/>
  <c r="T50" i="1" s="1"/>
  <c r="L50" i="1"/>
  <c r="AC50" i="1"/>
  <c r="AD51" i="1" s="1"/>
  <c r="K50" i="1" l="1"/>
  <c r="H50" i="1"/>
  <c r="F51" i="1" s="1"/>
  <c r="E50" i="1"/>
  <c r="V52" i="1"/>
  <c r="AB51" i="1" l="1"/>
  <c r="D51" i="1"/>
  <c r="AH51" i="1"/>
  <c r="O51" i="1" s="1"/>
  <c r="M51" i="1" l="1"/>
  <c r="AC51" i="1" s="1"/>
  <c r="AD52" i="1" s="1"/>
  <c r="Q51" i="1"/>
  <c r="I51" i="1" l="1"/>
  <c r="T51" i="1" s="1"/>
  <c r="L51" i="1"/>
  <c r="V53" i="1"/>
  <c r="K51" i="1" l="1"/>
  <c r="H51" i="1"/>
  <c r="F52" i="1" s="1"/>
  <c r="E51" i="1"/>
  <c r="AB52" i="1" l="1"/>
  <c r="D52" i="1"/>
  <c r="AH52" i="1"/>
  <c r="O52" i="1" s="1"/>
  <c r="M52" i="1" l="1"/>
  <c r="AC52" i="1" s="1"/>
  <c r="AD53" i="1" s="1"/>
  <c r="Q52" i="1"/>
  <c r="V54" i="1"/>
  <c r="I52" i="1" l="1"/>
  <c r="T52" i="1" s="1"/>
  <c r="L52" i="1"/>
  <c r="R41" i="1"/>
  <c r="K52" i="1" l="1"/>
  <c r="H52" i="1"/>
  <c r="F53" i="1" s="1"/>
  <c r="E52" i="1"/>
  <c r="AB53" i="1" l="1"/>
  <c r="AH53" i="1"/>
  <c r="O53" i="1" s="1"/>
  <c r="D53" i="1"/>
  <c r="M53" i="1" l="1"/>
  <c r="AC53" i="1" s="1"/>
  <c r="AD54" i="1" s="1"/>
  <c r="Q53" i="1"/>
  <c r="I53" i="1" l="1"/>
  <c r="L53" i="1"/>
  <c r="K53" i="1" l="1"/>
  <c r="E53" i="1"/>
  <c r="T53" i="1" l="1"/>
  <c r="H53" i="1"/>
  <c r="F54" i="1" s="1"/>
  <c r="AB54" i="1" l="1"/>
  <c r="AH54" i="1"/>
  <c r="D54" i="1"/>
  <c r="O54" i="1" l="1"/>
  <c r="M54" i="1" l="1"/>
  <c r="AC54" i="1" s="1"/>
  <c r="AD55" i="1" s="1"/>
  <c r="Q54" i="1"/>
  <c r="I54" i="1" l="1"/>
  <c r="H54" i="1" s="1"/>
  <c r="L54" i="1"/>
  <c r="V55" i="1"/>
  <c r="K54" i="1" l="1"/>
  <c r="E54" i="1"/>
  <c r="T54" i="1"/>
  <c r="F55" i="1"/>
  <c r="AB55" i="1" l="1"/>
  <c r="AH55" i="1"/>
  <c r="D55" i="1"/>
  <c r="O55" i="1" l="1"/>
  <c r="M55" i="1" l="1"/>
  <c r="AC55" i="1" s="1"/>
  <c r="AD56" i="1" s="1"/>
  <c r="Q55" i="1"/>
  <c r="I55" i="1" l="1"/>
  <c r="H55" i="1" s="1"/>
  <c r="L55" i="1"/>
  <c r="V56" i="1"/>
  <c r="T55" i="1" l="1"/>
  <c r="K55" i="1"/>
  <c r="E55" i="1"/>
  <c r="F56" i="1"/>
  <c r="AB56" i="1" l="1"/>
  <c r="AH56" i="1"/>
  <c r="D56" i="1"/>
  <c r="O56" i="1" l="1"/>
  <c r="M56" i="1" l="1"/>
  <c r="AC56" i="1" s="1"/>
  <c r="AD57" i="1" s="1"/>
  <c r="Q56" i="1"/>
  <c r="V57" i="1"/>
  <c r="I56" i="1" l="1"/>
  <c r="L56" i="1"/>
  <c r="K56" i="1" l="1"/>
  <c r="E56" i="1"/>
  <c r="H56" i="1"/>
  <c r="F57" i="1" s="1"/>
  <c r="AB57" i="1" s="1"/>
  <c r="T56" i="1"/>
  <c r="AH57" i="1" l="1"/>
  <c r="O57" i="1" s="1"/>
  <c r="D57" i="1"/>
  <c r="M57" i="1" l="1"/>
  <c r="AC57" i="1" s="1"/>
  <c r="AD58" i="1" s="1"/>
  <c r="Q57" i="1"/>
  <c r="V58" i="1"/>
  <c r="I57" i="1" l="1"/>
  <c r="L57" i="1"/>
  <c r="K57" i="1" l="1"/>
  <c r="E57" i="1"/>
  <c r="H57" i="1"/>
  <c r="F58" i="1" s="1"/>
  <c r="AB58" i="1" s="1"/>
  <c r="T57" i="1"/>
  <c r="D58" i="1" l="1"/>
  <c r="AH58" i="1"/>
  <c r="O58" i="1" s="1"/>
  <c r="M58" i="1" l="1"/>
  <c r="AC58" i="1" s="1"/>
  <c r="AD59" i="1" s="1"/>
  <c r="Q58" i="1"/>
  <c r="I58" i="1" l="1"/>
  <c r="H58" i="1" s="1"/>
  <c r="F59" i="1" s="1"/>
  <c r="L58" i="1"/>
  <c r="V59" i="1"/>
  <c r="T58" i="1" l="1"/>
  <c r="K58" i="1"/>
  <c r="E58" i="1"/>
  <c r="AB59" i="1"/>
  <c r="AH59" i="1"/>
  <c r="D59" i="1"/>
  <c r="O59" i="1" l="1"/>
  <c r="M59" i="1" l="1"/>
  <c r="L59" i="1" s="1"/>
  <c r="Q59" i="1"/>
  <c r="V60" i="1"/>
  <c r="AC59" i="1" l="1"/>
  <c r="AD60" i="1" s="1"/>
  <c r="I59" i="1"/>
  <c r="T59" i="1" s="1"/>
  <c r="E59" i="1" l="1"/>
  <c r="K59" i="1"/>
  <c r="H59" i="1"/>
  <c r="F60" i="1" s="1"/>
  <c r="AH60" i="1" l="1"/>
  <c r="O60" i="1" s="1"/>
  <c r="AB60" i="1"/>
  <c r="D60" i="1"/>
  <c r="V61" i="1"/>
  <c r="Q60" i="1" l="1"/>
  <c r="M60" i="1"/>
  <c r="L60" i="1" l="1"/>
  <c r="I60" i="1"/>
  <c r="T60" i="1" s="1"/>
  <c r="AC60" i="1"/>
  <c r="AD61" i="1" s="1"/>
  <c r="H60" i="1" l="1"/>
  <c r="F61" i="1" s="1"/>
  <c r="K60" i="1"/>
  <c r="E60" i="1"/>
  <c r="V62" i="1"/>
  <c r="D61" i="1" l="1"/>
  <c r="AH61" i="1"/>
  <c r="O61" i="1" s="1"/>
  <c r="AB61" i="1"/>
  <c r="Q61" i="1" l="1"/>
  <c r="M61" i="1"/>
  <c r="V63" i="1"/>
  <c r="AC61" i="1" l="1"/>
  <c r="AD62" i="1" s="1"/>
  <c r="I61" i="1"/>
  <c r="L61" i="1"/>
  <c r="T61" i="1" l="1"/>
  <c r="K61" i="1"/>
  <c r="H61" i="1"/>
  <c r="F62" i="1" s="1"/>
  <c r="E61" i="1"/>
  <c r="AH62" i="1" l="1"/>
  <c r="O62" i="1" s="1"/>
  <c r="AB62" i="1"/>
  <c r="D62" i="1"/>
  <c r="V64" i="1"/>
  <c r="M62" i="1" l="1"/>
  <c r="Q62" i="1"/>
  <c r="V65" i="1"/>
  <c r="L62" i="1" l="1"/>
  <c r="I62" i="1"/>
  <c r="AC62" i="1"/>
  <c r="AD63" i="1" s="1"/>
  <c r="T62" i="1" l="1"/>
  <c r="K62" i="1"/>
  <c r="E62" i="1"/>
  <c r="H62" i="1"/>
  <c r="F63" i="1" s="1"/>
  <c r="V66" i="1"/>
  <c r="AB63" i="1" l="1"/>
  <c r="D63" i="1"/>
  <c r="AH63" i="1"/>
  <c r="O63" i="1" s="1"/>
  <c r="M63" i="1" l="1"/>
  <c r="Q63" i="1"/>
  <c r="I63" i="1" l="1"/>
  <c r="L63" i="1"/>
  <c r="AC63" i="1"/>
  <c r="AD64" i="1" s="1"/>
  <c r="V67" i="1"/>
  <c r="T63" i="1" l="1"/>
  <c r="K63" i="1"/>
  <c r="H63" i="1"/>
  <c r="F64" i="1" s="1"/>
  <c r="E63" i="1"/>
  <c r="AH64" i="1" l="1"/>
  <c r="O64" i="1" s="1"/>
  <c r="AB64" i="1"/>
  <c r="D64" i="1"/>
  <c r="M64" i="1" l="1"/>
  <c r="Q64" i="1"/>
  <c r="V68" i="1"/>
  <c r="AC64" i="1" l="1"/>
  <c r="AD65" i="1" s="1"/>
  <c r="L64" i="1"/>
  <c r="I64" i="1"/>
  <c r="T64" i="1" l="1"/>
  <c r="K64" i="1"/>
  <c r="E64" i="1"/>
  <c r="H64" i="1"/>
  <c r="F65" i="1" s="1"/>
  <c r="V69" i="1"/>
  <c r="AB65" i="1" l="1"/>
  <c r="D65" i="1"/>
  <c r="AH65" i="1"/>
  <c r="O65" i="1" s="1"/>
  <c r="Q65" i="1" l="1"/>
  <c r="M65" i="1"/>
  <c r="V70" i="1"/>
  <c r="AC65" i="1" l="1"/>
  <c r="AD66" i="1" s="1"/>
  <c r="I65" i="1"/>
  <c r="L65" i="1"/>
  <c r="T65" i="1" l="1"/>
  <c r="K65" i="1"/>
  <c r="H65" i="1"/>
  <c r="F66" i="1" s="1"/>
  <c r="E65" i="1"/>
  <c r="V71" i="1"/>
  <c r="AB66" i="1" l="1"/>
  <c r="D66" i="1"/>
  <c r="AH66" i="1"/>
  <c r="O66" i="1" s="1"/>
  <c r="M66" i="1" l="1"/>
  <c r="Q66" i="1"/>
  <c r="AC66" i="1" l="1"/>
  <c r="AD67" i="1" s="1"/>
  <c r="I66" i="1"/>
  <c r="L66" i="1"/>
  <c r="V72" i="1"/>
  <c r="T66" i="1" l="1"/>
  <c r="K66" i="1"/>
  <c r="H66" i="1"/>
  <c r="F67" i="1" s="1"/>
  <c r="E66" i="1"/>
  <c r="AH67" i="1" l="1"/>
  <c r="O67" i="1" s="1"/>
  <c r="D67" i="1"/>
  <c r="AB67" i="1"/>
  <c r="M67" i="1" l="1"/>
  <c r="Q67" i="1"/>
  <c r="V73" i="1"/>
  <c r="AC67" i="1" l="1"/>
  <c r="AD68" i="1" s="1"/>
  <c r="L67" i="1"/>
  <c r="I67" i="1"/>
  <c r="T67" i="1" l="1"/>
  <c r="H67" i="1"/>
  <c r="F68" i="1" s="1"/>
  <c r="K67" i="1"/>
  <c r="E67" i="1"/>
  <c r="AH68" i="1" l="1"/>
  <c r="O68" i="1" s="1"/>
  <c r="AB68" i="1"/>
  <c r="D68" i="1"/>
  <c r="V74" i="1"/>
  <c r="M68" i="1" l="1"/>
  <c r="Q68" i="1"/>
  <c r="AC68" i="1" l="1"/>
  <c r="AD69" i="1" s="1"/>
  <c r="L68" i="1"/>
  <c r="I68" i="1"/>
  <c r="V75" i="1"/>
  <c r="T68" i="1" l="1"/>
  <c r="K68" i="1"/>
  <c r="H68" i="1"/>
  <c r="F69" i="1" s="1"/>
  <c r="E68" i="1"/>
  <c r="AH69" i="1" l="1"/>
  <c r="O69" i="1" s="1"/>
  <c r="D69" i="1"/>
  <c r="AB69" i="1"/>
  <c r="V76" i="1"/>
  <c r="Q69" i="1" l="1"/>
  <c r="M69" i="1"/>
  <c r="L69" i="1" l="1"/>
  <c r="I69" i="1"/>
  <c r="AC69" i="1"/>
  <c r="AD70" i="1" s="1"/>
  <c r="T69" i="1" l="1"/>
  <c r="H69" i="1"/>
  <c r="F70" i="1" s="1"/>
  <c r="K69" i="1"/>
  <c r="E69" i="1"/>
  <c r="V77" i="1"/>
  <c r="AB70" i="1" l="1"/>
  <c r="AH70" i="1"/>
  <c r="O70" i="1" s="1"/>
  <c r="D70" i="1"/>
  <c r="M70" i="1" l="1"/>
  <c r="AC70" i="1" s="1"/>
  <c r="AD71" i="1" s="1"/>
  <c r="Q70" i="1"/>
  <c r="V78" i="1"/>
  <c r="L70" i="1" l="1"/>
  <c r="I70" i="1"/>
  <c r="T70" i="1" l="1"/>
  <c r="K70" i="1"/>
  <c r="H70" i="1"/>
  <c r="F71" i="1" s="1"/>
  <c r="E70" i="1"/>
  <c r="AB71" i="1" l="1"/>
  <c r="D71" i="1"/>
  <c r="AH71" i="1"/>
  <c r="O71" i="1" s="1"/>
  <c r="Q71" i="1" l="1"/>
  <c r="M71" i="1"/>
  <c r="AC71" i="1" l="1"/>
  <c r="AD72" i="1" s="1"/>
  <c r="I71" i="1"/>
  <c r="L71" i="1"/>
  <c r="T71" i="1" l="1"/>
  <c r="E71" i="1"/>
  <c r="K71" i="1"/>
  <c r="H71" i="1"/>
  <c r="F72" i="1" s="1"/>
  <c r="D72" i="1" l="1"/>
  <c r="AB72" i="1"/>
  <c r="AH72" i="1"/>
  <c r="O72" i="1" s="1"/>
  <c r="Q72" i="1" l="1"/>
  <c r="M72" i="1"/>
  <c r="L72" i="1" l="1"/>
  <c r="I72" i="1"/>
  <c r="T72" i="1" s="1"/>
  <c r="AC72" i="1"/>
  <c r="AD73" i="1" s="1"/>
  <c r="K72" i="1" l="1"/>
  <c r="H72" i="1"/>
  <c r="F73" i="1" s="1"/>
  <c r="E72" i="1"/>
  <c r="D73" i="1" l="1"/>
  <c r="AB73" i="1"/>
  <c r="AH73" i="1"/>
  <c r="O73" i="1" s="1"/>
  <c r="Q73" i="1" l="1"/>
  <c r="M73" i="1"/>
  <c r="AC73" i="1" l="1"/>
  <c r="AD74" i="1" s="1"/>
  <c r="I73" i="1"/>
  <c r="L73" i="1"/>
  <c r="T73" i="1" l="1"/>
  <c r="K73" i="1"/>
  <c r="H73" i="1"/>
  <c r="F74" i="1" s="1"/>
  <c r="E73" i="1"/>
  <c r="AB74" i="1" l="1"/>
  <c r="AH74" i="1"/>
  <c r="O74" i="1" s="1"/>
  <c r="D74" i="1"/>
  <c r="M74" i="1" l="1"/>
  <c r="Q74" i="1"/>
  <c r="AC74" i="1" l="1"/>
  <c r="AD75" i="1" s="1"/>
  <c r="I74" i="1"/>
  <c r="L74" i="1"/>
  <c r="T74" i="1" l="1"/>
  <c r="K74" i="1"/>
  <c r="H74" i="1"/>
  <c r="F75" i="1" s="1"/>
  <c r="E74" i="1"/>
  <c r="AB75" i="1" l="1"/>
  <c r="D75" i="1"/>
  <c r="AH75" i="1"/>
  <c r="O75" i="1" s="1"/>
  <c r="M75" i="1" l="1"/>
  <c r="AC75" i="1" s="1"/>
  <c r="AD76" i="1" s="1"/>
  <c r="Q75" i="1"/>
  <c r="L75" i="1" l="1"/>
  <c r="I75" i="1"/>
  <c r="T75" i="1" l="1"/>
  <c r="K75" i="1"/>
  <c r="H75" i="1"/>
  <c r="F76" i="1" s="1"/>
  <c r="E75" i="1"/>
  <c r="AB76" i="1" l="1"/>
  <c r="D76" i="1"/>
  <c r="AH76" i="1"/>
  <c r="O76" i="1" s="1"/>
  <c r="M76" i="1" l="1"/>
  <c r="Q76" i="1"/>
  <c r="AC76" i="1" l="1"/>
  <c r="AD77" i="1" s="1"/>
  <c r="L76" i="1"/>
  <c r="I76" i="1"/>
  <c r="T76" i="1" l="1"/>
  <c r="K76" i="1"/>
  <c r="E76" i="1"/>
  <c r="H76" i="1"/>
  <c r="F77" i="1" s="1"/>
  <c r="AB77" i="1" l="1"/>
  <c r="D77" i="1"/>
  <c r="AH77" i="1"/>
  <c r="O77" i="1" s="1"/>
  <c r="Q77" i="1" l="1"/>
  <c r="M77" i="1"/>
  <c r="AC77" i="1" l="1"/>
  <c r="AD78" i="1" s="1"/>
  <c r="I77" i="1"/>
  <c r="L77" i="1"/>
  <c r="T77" i="1" l="1"/>
  <c r="H77" i="1"/>
  <c r="F78" i="1" s="1"/>
  <c r="K77" i="1"/>
  <c r="E77" i="1"/>
  <c r="D78" i="1" l="1"/>
  <c r="AH78" i="1"/>
  <c r="O78" i="1" s="1"/>
  <c r="AB78" i="1"/>
  <c r="P36" i="1" l="1"/>
  <c r="M78" i="1"/>
  <c r="Q78" i="1"/>
  <c r="Q115" i="1" s="1"/>
  <c r="O115" i="1"/>
  <c r="O41" i="1"/>
  <c r="AC78" i="1" l="1"/>
  <c r="AD79" i="1" s="1"/>
  <c r="I78" i="1"/>
  <c r="L78" i="1"/>
  <c r="O36" i="1"/>
  <c r="T78" i="1" l="1"/>
  <c r="K78" i="1"/>
  <c r="K115" i="1" s="1"/>
  <c r="N36" i="1"/>
  <c r="I41" i="1"/>
  <c r="H78" i="1"/>
  <c r="F79" i="1" s="1"/>
  <c r="E78" i="1"/>
  <c r="H79" i="1" l="1"/>
  <c r="F80" i="1" s="1"/>
  <c r="D79" i="1"/>
  <c r="E79" i="1" s="1"/>
  <c r="AB79" i="1"/>
  <c r="M79" i="1" l="1"/>
  <c r="AC79" i="1" s="1"/>
  <c r="AD80" i="1" s="1"/>
  <c r="AB80" i="1"/>
  <c r="H80" i="1"/>
  <c r="F81" i="1" s="1"/>
  <c r="D80" i="1"/>
  <c r="E80" i="1" s="1"/>
  <c r="AB81" i="1" l="1"/>
  <c r="H81" i="1"/>
  <c r="F82" i="1" s="1"/>
  <c r="D81" i="1"/>
  <c r="E81" i="1" s="1"/>
  <c r="M80" i="1"/>
  <c r="L79" i="1"/>
  <c r="V79" i="1" s="1"/>
  <c r="T79" i="1"/>
  <c r="T80" i="1" l="1"/>
  <c r="L80" i="1"/>
  <c r="V80" i="1" s="1"/>
  <c r="H82" i="1"/>
  <c r="F83" i="1" s="1"/>
  <c r="AB82" i="1"/>
  <c r="D82" i="1"/>
  <c r="E82" i="1" s="1"/>
  <c r="AC80" i="1"/>
  <c r="AD81" i="1" s="1"/>
  <c r="M81" i="1"/>
  <c r="AC81" i="1" s="1"/>
  <c r="AD82" i="1" s="1"/>
  <c r="M82" i="1" l="1"/>
  <c r="AC82" i="1" s="1"/>
  <c r="AD83" i="1" s="1"/>
  <c r="L81" i="1"/>
  <c r="V81" i="1" s="1"/>
  <c r="T81" i="1"/>
  <c r="D83" i="1"/>
  <c r="E83" i="1" s="1"/>
  <c r="H83" i="1"/>
  <c r="F84" i="1" s="1"/>
  <c r="AB83" i="1"/>
  <c r="M83" i="1" s="1"/>
  <c r="AC83" i="1" l="1"/>
  <c r="AD84" i="1" s="1"/>
  <c r="L83" i="1"/>
  <c r="V83" i="1" s="1"/>
  <c r="T83" i="1"/>
  <c r="AB84" i="1"/>
  <c r="H84" i="1"/>
  <c r="F85" i="1" s="1"/>
  <c r="D84" i="1"/>
  <c r="E84" i="1" s="1"/>
  <c r="T82" i="1"/>
  <c r="L82" i="1"/>
  <c r="V82" i="1" s="1"/>
  <c r="D85" i="1" l="1"/>
  <c r="E85" i="1" s="1"/>
  <c r="AB85" i="1"/>
  <c r="H85" i="1"/>
  <c r="F86" i="1" s="1"/>
  <c r="M84" i="1"/>
  <c r="T84" i="1" l="1"/>
  <c r="L84" i="1"/>
  <c r="V84" i="1" s="1"/>
  <c r="H86" i="1"/>
  <c r="F87" i="1" s="1"/>
  <c r="AB86" i="1"/>
  <c r="D86" i="1"/>
  <c r="E86" i="1" s="1"/>
  <c r="M85" i="1"/>
  <c r="AC85" i="1" s="1"/>
  <c r="AD86" i="1" s="1"/>
  <c r="AC84" i="1"/>
  <c r="AD85" i="1" s="1"/>
  <c r="M86" i="1" l="1"/>
  <c r="AC86" i="1" s="1"/>
  <c r="AD87" i="1" s="1"/>
  <c r="T85" i="1"/>
  <c r="L85" i="1"/>
  <c r="V85" i="1" s="1"/>
  <c r="AB87" i="1"/>
  <c r="H87" i="1"/>
  <c r="F88" i="1" s="1"/>
  <c r="D87" i="1"/>
  <c r="E87" i="1" s="1"/>
  <c r="M87" i="1" l="1"/>
  <c r="AC87" i="1" s="1"/>
  <c r="AD88" i="1" s="1"/>
  <c r="D88" i="1"/>
  <c r="E88" i="1" s="1"/>
  <c r="H88" i="1"/>
  <c r="F89" i="1" s="1"/>
  <c r="AB88" i="1"/>
  <c r="L86" i="1"/>
  <c r="V86" i="1" s="1"/>
  <c r="T86" i="1"/>
  <c r="M88" i="1" l="1"/>
  <c r="AC88" i="1" s="1"/>
  <c r="AD89" i="1" s="1"/>
  <c r="AB89" i="1"/>
  <c r="D89" i="1"/>
  <c r="E89" i="1" s="1"/>
  <c r="H89" i="1"/>
  <c r="F90" i="1" s="1"/>
  <c r="L87" i="1"/>
  <c r="V87" i="1" s="1"/>
  <c r="T87" i="1"/>
  <c r="M89" i="1" l="1"/>
  <c r="AC89" i="1" s="1"/>
  <c r="AD90" i="1" s="1"/>
  <c r="D90" i="1"/>
  <c r="E90" i="1" s="1"/>
  <c r="AB90" i="1"/>
  <c r="H90" i="1"/>
  <c r="F91" i="1" s="1"/>
  <c r="T88" i="1"/>
  <c r="L88" i="1"/>
  <c r="V88" i="1" s="1"/>
  <c r="D91" i="1" l="1"/>
  <c r="E91" i="1" s="1"/>
  <c r="AB91" i="1"/>
  <c r="H91" i="1"/>
  <c r="F92" i="1" s="1"/>
  <c r="M90" i="1"/>
  <c r="L89" i="1"/>
  <c r="V89" i="1" s="1"/>
  <c r="T89" i="1"/>
  <c r="L90" i="1" l="1"/>
  <c r="V90" i="1" s="1"/>
  <c r="F37" i="1" s="1"/>
  <c r="E37" i="1" s="1"/>
  <c r="T90" i="1"/>
  <c r="M91" i="1"/>
  <c r="AC91" i="1" s="1"/>
  <c r="AD92" i="1" s="1"/>
  <c r="AC90" i="1"/>
  <c r="AD91" i="1" s="1"/>
  <c r="H92" i="1"/>
  <c r="F93" i="1" s="1"/>
  <c r="D92" i="1"/>
  <c r="E92" i="1" s="1"/>
  <c r="AB92" i="1"/>
  <c r="M92" i="1" l="1"/>
  <c r="AC92" i="1" s="1"/>
  <c r="AD93" i="1" s="1"/>
  <c r="H93" i="1"/>
  <c r="F94" i="1" s="1"/>
  <c r="AB93" i="1"/>
  <c r="M93" i="1" s="1"/>
  <c r="D93" i="1"/>
  <c r="E93" i="1" s="1"/>
  <c r="L91" i="1"/>
  <c r="V91" i="1" s="1"/>
  <c r="T91" i="1"/>
  <c r="AC93" i="1" l="1"/>
  <c r="AD94" i="1" s="1"/>
  <c r="T93" i="1"/>
  <c r="L93" i="1"/>
  <c r="V93" i="1" s="1"/>
  <c r="H94" i="1"/>
  <c r="F95" i="1" s="1"/>
  <c r="D94" i="1"/>
  <c r="E94" i="1" s="1"/>
  <c r="AB94" i="1"/>
  <c r="L92" i="1"/>
  <c r="V92" i="1" s="1"/>
  <c r="T92" i="1"/>
  <c r="H95" i="1" l="1"/>
  <c r="F96" i="1" s="1"/>
  <c r="AB95" i="1"/>
  <c r="M95" i="1" s="1"/>
  <c r="D95" i="1"/>
  <c r="E95" i="1" s="1"/>
  <c r="M94" i="1"/>
  <c r="AC94" i="1" s="1"/>
  <c r="AD95" i="1" s="1"/>
  <c r="L94" i="1" l="1"/>
  <c r="V94" i="1" s="1"/>
  <c r="T94" i="1"/>
  <c r="AC95" i="1"/>
  <c r="AD96" i="1" s="1"/>
  <c r="L95" i="1"/>
  <c r="V95" i="1" s="1"/>
  <c r="T95" i="1"/>
  <c r="H96" i="1"/>
  <c r="F97" i="1" s="1"/>
  <c r="D96" i="1"/>
  <c r="E96" i="1" s="1"/>
  <c r="AB96" i="1"/>
  <c r="M96" i="1" l="1"/>
  <c r="AC96" i="1" s="1"/>
  <c r="AD97" i="1" s="1"/>
  <c r="H97" i="1"/>
  <c r="F98" i="1" s="1"/>
  <c r="AB97" i="1"/>
  <c r="M97" i="1" s="1"/>
  <c r="D97" i="1"/>
  <c r="E97" i="1" s="1"/>
  <c r="AC97" i="1" l="1"/>
  <c r="AD98" i="1" s="1"/>
  <c r="L97" i="1"/>
  <c r="V97" i="1" s="1"/>
  <c r="T97" i="1"/>
  <c r="H98" i="1"/>
  <c r="F99" i="1" s="1"/>
  <c r="AB98" i="1"/>
  <c r="D98" i="1"/>
  <c r="E98" i="1" s="1"/>
  <c r="L96" i="1"/>
  <c r="V96" i="1" s="1"/>
  <c r="T96" i="1"/>
  <c r="D99" i="1" l="1"/>
  <c r="E99" i="1" s="1"/>
  <c r="AB99" i="1"/>
  <c r="H99" i="1"/>
  <c r="F100" i="1" s="1"/>
  <c r="M98" i="1"/>
  <c r="AC98" i="1" s="1"/>
  <c r="AD99" i="1" s="1"/>
  <c r="AB100" i="1" l="1"/>
  <c r="M100" i="1" s="1"/>
  <c r="D100" i="1"/>
  <c r="E100" i="1" s="1"/>
  <c r="H100" i="1"/>
  <c r="F101" i="1" s="1"/>
  <c r="M99" i="1"/>
  <c r="AC99" i="1" s="1"/>
  <c r="AD100" i="1" s="1"/>
  <c r="T98" i="1"/>
  <c r="L98" i="1"/>
  <c r="V98" i="1" s="1"/>
  <c r="T99" i="1" l="1"/>
  <c r="L99" i="1"/>
  <c r="V99" i="1" s="1"/>
  <c r="H101" i="1"/>
  <c r="F102" i="1" s="1"/>
  <c r="AB101" i="1"/>
  <c r="D101" i="1"/>
  <c r="E101" i="1" s="1"/>
  <c r="AC100" i="1"/>
  <c r="AD101" i="1" s="1"/>
  <c r="L100" i="1"/>
  <c r="V100" i="1" s="1"/>
  <c r="T100" i="1"/>
  <c r="M101" i="1" l="1"/>
  <c r="AC101" i="1" s="1"/>
  <c r="AD102" i="1" s="1"/>
  <c r="D102" i="1"/>
  <c r="E102" i="1" s="1"/>
  <c r="H102" i="1"/>
  <c r="F103" i="1" s="1"/>
  <c r="AB102" i="1"/>
  <c r="H103" i="1" l="1"/>
  <c r="F104" i="1" s="1"/>
  <c r="D103" i="1"/>
  <c r="E103" i="1" s="1"/>
  <c r="AB103" i="1"/>
  <c r="M102" i="1"/>
  <c r="AC102" i="1" s="1"/>
  <c r="AD103" i="1" s="1"/>
  <c r="T101" i="1"/>
  <c r="L101" i="1"/>
  <c r="V101" i="1" s="1"/>
  <c r="L102" i="1" l="1"/>
  <c r="V102" i="1" s="1"/>
  <c r="T102" i="1"/>
  <c r="M103" i="1"/>
  <c r="AB104" i="1"/>
  <c r="D104" i="1"/>
  <c r="E104" i="1" s="1"/>
  <c r="H104" i="1"/>
  <c r="F105" i="1" s="1"/>
  <c r="H105" i="1" l="1"/>
  <c r="F106" i="1" s="1"/>
  <c r="D105" i="1"/>
  <c r="E105" i="1" s="1"/>
  <c r="AB105" i="1"/>
  <c r="M104" i="1"/>
  <c r="AC104" i="1" s="1"/>
  <c r="AD105" i="1" s="1"/>
  <c r="L103" i="1"/>
  <c r="V103" i="1" s="1"/>
  <c r="T103" i="1"/>
  <c r="AC103" i="1"/>
  <c r="AD104" i="1" s="1"/>
  <c r="L104" i="1" l="1"/>
  <c r="V104" i="1" s="1"/>
  <c r="T104" i="1"/>
  <c r="M105" i="1"/>
  <c r="AC105" i="1" s="1"/>
  <c r="AD106" i="1" s="1"/>
  <c r="D106" i="1"/>
  <c r="E106" i="1" s="1"/>
  <c r="AB106" i="1"/>
  <c r="H106" i="1"/>
  <c r="F107" i="1" s="1"/>
  <c r="H107" i="1" l="1"/>
  <c r="F108" i="1" s="1"/>
  <c r="D107" i="1"/>
  <c r="E107" i="1" s="1"/>
  <c r="AB107" i="1"/>
  <c r="M106" i="1"/>
  <c r="AC106" i="1" s="1"/>
  <c r="AD107" i="1" s="1"/>
  <c r="T105" i="1"/>
  <c r="L105" i="1"/>
  <c r="V105" i="1" s="1"/>
  <c r="L106" i="1" l="1"/>
  <c r="V106" i="1" s="1"/>
  <c r="T106" i="1"/>
  <c r="M107" i="1"/>
  <c r="AC107" i="1" s="1"/>
  <c r="AD108" i="1" s="1"/>
  <c r="AB108" i="1"/>
  <c r="M108" i="1" s="1"/>
  <c r="H108" i="1"/>
  <c r="F109" i="1" s="1"/>
  <c r="D108" i="1"/>
  <c r="E108" i="1" s="1"/>
  <c r="AC108" i="1" l="1"/>
  <c r="AD109" i="1" s="1"/>
  <c r="L108" i="1"/>
  <c r="V108" i="1" s="1"/>
  <c r="T108" i="1"/>
  <c r="T107" i="1"/>
  <c r="L107" i="1"/>
  <c r="V107" i="1" s="1"/>
  <c r="D109" i="1"/>
  <c r="E109" i="1" s="1"/>
  <c r="H109" i="1"/>
  <c r="F110" i="1" s="1"/>
  <c r="AB109" i="1"/>
  <c r="M109" i="1" s="1"/>
  <c r="AC109" i="1" l="1"/>
  <c r="AD110" i="1" s="1"/>
  <c r="L109" i="1"/>
  <c r="V109" i="1" s="1"/>
  <c r="T109" i="1"/>
  <c r="H110" i="1"/>
  <c r="F111" i="1" s="1"/>
  <c r="AB110" i="1"/>
  <c r="D110" i="1"/>
  <c r="E110" i="1" s="1"/>
  <c r="M110" i="1" l="1"/>
  <c r="AC110" i="1" s="1"/>
  <c r="AD111" i="1" s="1"/>
  <c r="D111" i="1"/>
  <c r="E111" i="1" s="1"/>
  <c r="H111" i="1"/>
  <c r="F112" i="1" s="1"/>
  <c r="AB111" i="1"/>
  <c r="M111" i="1" l="1"/>
  <c r="AC111" i="1" s="1"/>
  <c r="AD112" i="1" s="1"/>
  <c r="AB112" i="1"/>
  <c r="D112" i="1"/>
  <c r="E112" i="1" s="1"/>
  <c r="H112" i="1"/>
  <c r="F113" i="1" s="1"/>
  <c r="L110" i="1"/>
  <c r="V110" i="1" s="1"/>
  <c r="T110" i="1"/>
  <c r="D113" i="1" l="1"/>
  <c r="E113" i="1" s="1"/>
  <c r="H113" i="1"/>
  <c r="F114" i="1" s="1"/>
  <c r="AB113" i="1"/>
  <c r="M113" i="1" s="1"/>
  <c r="F115" i="1"/>
  <c r="M112" i="1"/>
  <c r="T111" i="1"/>
  <c r="L111" i="1"/>
  <c r="V111" i="1" s="1"/>
  <c r="T112" i="1" l="1"/>
  <c r="L112" i="1"/>
  <c r="V112" i="1" s="1"/>
  <c r="AC112" i="1"/>
  <c r="AD113" i="1" s="1"/>
  <c r="AC113" i="1"/>
  <c r="AD114" i="1" s="1"/>
  <c r="L113" i="1"/>
  <c r="V113" i="1" s="1"/>
  <c r="T113" i="1"/>
  <c r="D114" i="1"/>
  <c r="E114" i="1" s="1"/>
  <c r="H114" i="1"/>
  <c r="H115" i="1" s="1"/>
  <c r="AB114" i="1"/>
  <c r="M114" i="1" l="1"/>
  <c r="AC114" i="1" s="1"/>
  <c r="L114" i="1" l="1"/>
  <c r="T114" i="1"/>
  <c r="M41" i="1"/>
  <c r="M115" i="1"/>
  <c r="V114" i="1" l="1"/>
  <c r="L115" i="1"/>
  <c r="T41" i="1"/>
  <c r="T115" i="1"/>
  <c r="V41" i="1" l="1"/>
  <c r="V115" i="1"/>
</calcChain>
</file>

<file path=xl/sharedStrings.xml><?xml version="1.0" encoding="utf-8"?>
<sst xmlns="http://schemas.openxmlformats.org/spreadsheetml/2006/main" count="105" uniqueCount="98">
  <si>
    <t>Moneda</t>
  </si>
  <si>
    <t>Fecha</t>
  </si>
  <si>
    <t>Fecha de desembolso</t>
  </si>
  <si>
    <r>
      <t xml:space="preserve">Cuota Mensual (C) del mes </t>
    </r>
    <r>
      <rPr>
        <i/>
        <sz val="10"/>
        <rFont val="Arial"/>
        <family val="2"/>
      </rPr>
      <t>i</t>
    </r>
    <r>
      <rPr>
        <sz val="10"/>
        <rFont val="Arial"/>
        <family val="2"/>
      </rPr>
      <t>:</t>
    </r>
  </si>
  <si>
    <r>
      <t xml:space="preserve">Interés (I) del mes </t>
    </r>
    <r>
      <rPr>
        <i/>
        <sz val="10"/>
        <rFont val="Arial"/>
        <family val="2"/>
      </rPr>
      <t>i</t>
    </r>
    <r>
      <rPr>
        <sz val="10"/>
        <rFont val="Arial"/>
        <family val="2"/>
      </rPr>
      <t>:</t>
    </r>
  </si>
  <si>
    <r>
      <t>Saldo Inicial (SI) y Saldo Final (SF) del mes</t>
    </r>
    <r>
      <rPr>
        <i/>
        <sz val="10"/>
        <rFont val="Arial"/>
        <family val="2"/>
      </rPr>
      <t xml:space="preserve"> i:</t>
    </r>
  </si>
  <si>
    <r>
      <t xml:space="preserve">Amortización (A) del mes </t>
    </r>
    <r>
      <rPr>
        <i/>
        <sz val="10"/>
        <rFont val="Arial"/>
        <family val="2"/>
      </rPr>
      <t>i:</t>
    </r>
  </si>
  <si>
    <t>A partir del mes 1:</t>
  </si>
  <si>
    <t>dp = Tasa de derecho de emisión de póliza</t>
  </si>
  <si>
    <t>Total a Pagar Mensual (T):</t>
  </si>
  <si>
    <t>tsd = Tasa de seguro de desgravamen</t>
  </si>
  <si>
    <t>Seguro de Desgravamen Mensual Constante (SD):</t>
  </si>
  <si>
    <t>i = Mes correspondiente</t>
  </si>
  <si>
    <t>Tasa de Seguro de Desgravamen (tsd)</t>
  </si>
  <si>
    <t>Tasa de Derecho de emisión de póliza (tp)</t>
  </si>
  <si>
    <t>C = Cuota Mensual</t>
  </si>
  <si>
    <t>P = Monto a desembolsar</t>
  </si>
  <si>
    <t>A = Amortización mensual</t>
  </si>
  <si>
    <t>SI = Saldo Inicial del mes</t>
  </si>
  <si>
    <t>SF = Saldo Final del mes</t>
  </si>
  <si>
    <t>I = Intereses del mes</t>
  </si>
  <si>
    <t>SD = Seguro de Desgravamen del mes</t>
  </si>
  <si>
    <t>T = Total a pagar mensual</t>
  </si>
  <si>
    <t>Leyenda:</t>
  </si>
  <si>
    <t>n = Plazo del Préstamo (meses)</t>
  </si>
  <si>
    <t>Cuota Total a Pagar Mensual (T)</t>
  </si>
  <si>
    <t>Seguro de desgravamen (SD)
Poliza         IGV</t>
  </si>
  <si>
    <t>Tasa de Interés Efectiva Mensual:</t>
  </si>
  <si>
    <t>PT = Comisión y Gastos por Portes</t>
  </si>
  <si>
    <t>Fórmulas MaxiPréstamo</t>
  </si>
  <si>
    <t>TIEA = Tasa de interés efectiva Anual</t>
  </si>
  <si>
    <r>
      <t>t</t>
    </r>
    <r>
      <rPr>
        <sz val="8"/>
        <rFont val="Arial"/>
        <family val="2"/>
      </rPr>
      <t>m</t>
    </r>
    <r>
      <rPr>
        <sz val="10"/>
        <rFont val="Arial"/>
        <family val="2"/>
      </rPr>
      <t xml:space="preserve"> = Tasa de interés efectiva Mensual</t>
    </r>
  </si>
  <si>
    <t>Periodo de gracia (meses)</t>
  </si>
  <si>
    <t>No</t>
  </si>
  <si>
    <t>Día</t>
  </si>
  <si>
    <t>Ocultar fila</t>
  </si>
  <si>
    <t>configurar</t>
  </si>
  <si>
    <t>Cuota Mensual (C)</t>
  </si>
  <si>
    <t>TOTALES --&gt;</t>
  </si>
  <si>
    <t>Dias Calendario</t>
  </si>
  <si>
    <t>Año Base 360 días</t>
  </si>
  <si>
    <t>Dólares</t>
  </si>
  <si>
    <t>Soles</t>
  </si>
  <si>
    <t>Endosado</t>
  </si>
  <si>
    <t>Tipo de Seguro de Desgravamen</t>
  </si>
  <si>
    <t>Titular</t>
  </si>
  <si>
    <t>Días Calendario</t>
  </si>
  <si>
    <t>Día de Pago</t>
  </si>
  <si>
    <t>Portes</t>
  </si>
  <si>
    <t>Totales</t>
  </si>
  <si>
    <t>Cuota Doble</t>
  </si>
  <si>
    <t>Físico</t>
  </si>
  <si>
    <t>Virtual</t>
  </si>
  <si>
    <t>Fecha Primera Cuota</t>
  </si>
  <si>
    <t>Seguro de desgravamen</t>
  </si>
  <si>
    <t>Interés</t>
  </si>
  <si>
    <t>Amortización</t>
  </si>
  <si>
    <t>Nro Cuota</t>
  </si>
  <si>
    <t>Cuota</t>
  </si>
  <si>
    <t>Cuota Total</t>
  </si>
  <si>
    <t>Número de Cuotas</t>
  </si>
  <si>
    <t>Notas:</t>
  </si>
  <si>
    <t>1) El año base para el cálculo de las tasas de interés es de 360 días.</t>
  </si>
  <si>
    <t>2) Los datos que se muestran en este simulador son referenciales y están sujetos a evaluación, podría no coincidir con la información del cronograma definitivo. Los datos podrán variar dependiendo de la fecha real de desembolso y la fecha del primer vencimiento. Este documento no constituye aprobación del préstamo.</t>
  </si>
  <si>
    <t>(**) Usted tiene derecho a contratar el seguro de desgravamen y endosarlo a favor de Santander Consumer hasta el monto del saldo adeudado. Las condiciones del endoso se encuentra en www.santanderconsumer.com.pe / transparencia.</t>
  </si>
  <si>
    <t xml:space="preserve">La opción de macros en MS-Excel debe estar habilitada para el completo funcionamiento de los simuladores.
</t>
  </si>
  <si>
    <t>Tasa de Costo Efectivo Anual (TCEA)</t>
  </si>
  <si>
    <t>Tasa de Interés Compensatorio Efectiva Anual (TEA Fija)</t>
  </si>
  <si>
    <t>Envio Estado de Cuenta*</t>
  </si>
  <si>
    <t>Seguro de Desgravamen Mensual**</t>
  </si>
  <si>
    <t>Días de Pago</t>
  </si>
  <si>
    <t>Precio del vehículo</t>
  </si>
  <si>
    <t>Cuota inicial</t>
  </si>
  <si>
    <t>Seguro vehicular</t>
  </si>
  <si>
    <t>Seguro vehicular anual</t>
  </si>
  <si>
    <t>SEGURO VEHICULAR</t>
  </si>
  <si>
    <t>GPS</t>
  </si>
  <si>
    <t>Monto del préstamo</t>
  </si>
  <si>
    <t>SIMULADOR - CRÉDITO DE CRÉDITO VEHICULAR COMPRA MAESTRA</t>
  </si>
  <si>
    <t>Cuota final</t>
  </si>
  <si>
    <t>Saldo Final (SF)_1</t>
  </si>
  <si>
    <t>Saldo Capital_1</t>
  </si>
  <si>
    <t>Saldo capital total</t>
  </si>
  <si>
    <t>Interés 2</t>
  </si>
  <si>
    <t>Titular + conyuge</t>
  </si>
  <si>
    <t>Amortización1</t>
  </si>
  <si>
    <t>Amort2</t>
  </si>
  <si>
    <t>Seguro de desgravamen1</t>
  </si>
  <si>
    <t>Seg desgr 2</t>
  </si>
  <si>
    <t>Monto financiado en cuotas</t>
  </si>
  <si>
    <t>Saldo Final (SF)</t>
  </si>
  <si>
    <t>Interés1</t>
  </si>
  <si>
    <t>3) Este simulador considera 30 días exactos para cada mes, por lo que podría no coincidir con el cronograma definitivo. El sistema realiza iteraciones para hallar una cuota constante con los días exactos de cada mes, ya sea 28, 30 o 31 y esa será la cuota a cobrar.</t>
  </si>
  <si>
    <t>Plazo</t>
  </si>
  <si>
    <t>Precio</t>
  </si>
  <si>
    <t>Servicio de toma de firmas y delivery</t>
  </si>
  <si>
    <t>Gastos notariales y registrales</t>
  </si>
  <si>
    <t>(*) El cálculo de los portes se realiza en base a un tipo de cambio referencial de S/ 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</si>
</sst>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S/&quot;\ #,##0.00;[Red]\-&quot;S/&quot;\ #,##0.00"/>
    <numFmt numFmtId="164" formatCode="_(* #,##0.00_);_(* \(#,##0.00\);_(* &quot;-&quot;??_);_(@_)"/>
    <numFmt numFmtId="165" formatCode="0.000%"/>
    <numFmt numFmtId="166" formatCode="0.0000000%"/>
    <numFmt numFmtId="167" formatCode="0.0000000000"/>
    <numFmt numFmtId="168" formatCode="0.0000%"/>
    <numFmt numFmtId="169" formatCode="0.00000%"/>
    <numFmt numFmtId="170" formatCode="#,##0.00000"/>
    <numFmt numFmtId="171" formatCode="0.0%"/>
    <numFmt numFmtId="172" formatCode="0.000"/>
    <numFmt numFmtId="173" formatCode="&quot;S/&quot;\ #,##0.0000;[Red]\-&quot;S/&quot;\ #,##0.0000"/>
  </numFmts>
  <fonts count="21" x14ac:knownFonts="1">
    <font>
      <sz val="10"/>
      <name val="Arial"/>
    </font>
    <font>
      <sz val="10"/>
      <name val="Arial"/>
      <family val="2"/>
    </font>
    <font>
      <b/>
      <u/>
      <sz val="10"/>
      <name val="Arial"/>
      <family val="2"/>
    </font>
    <font>
      <i/>
      <sz val="10"/>
      <name val="Arial"/>
      <family val="2"/>
    </font>
    <font>
      <sz val="8"/>
      <name val="Arial"/>
      <family val="2"/>
    </font>
    <font>
      <b/>
      <sz val="14"/>
      <color indexed="9"/>
      <name val="Arial"/>
      <family val="2"/>
    </font>
    <font>
      <sz val="14"/>
      <name val="Arial"/>
      <family val="2"/>
    </font>
    <font>
      <sz val="10"/>
      <name val="Arial"/>
      <family val="2"/>
    </font>
    <font>
      <sz val="10"/>
      <name val="Calibri"/>
      <family val="2"/>
      <scheme val="minor"/>
    </font>
    <font>
      <b/>
      <sz val="10"/>
      <name val="Calibri"/>
      <family val="2"/>
      <scheme val="minor"/>
    </font>
    <font>
      <b/>
      <sz val="18"/>
      <color indexed="9"/>
      <name val="Calibri"/>
      <family val="2"/>
      <scheme val="minor"/>
    </font>
    <font>
      <b/>
      <sz val="10"/>
      <color theme="1"/>
      <name val="Calibri"/>
      <family val="2"/>
      <scheme val="minor"/>
    </font>
    <font>
      <sz val="10"/>
      <color theme="1"/>
      <name val="Calibri"/>
      <family val="2"/>
      <scheme val="minor"/>
    </font>
    <font>
      <b/>
      <sz val="10"/>
      <color indexed="9"/>
      <name val="Calibri"/>
      <family val="2"/>
      <scheme val="minor"/>
    </font>
    <font>
      <sz val="10"/>
      <color theme="0"/>
      <name val="Calibri"/>
      <family val="2"/>
      <scheme val="minor"/>
    </font>
    <font>
      <sz val="10"/>
      <color indexed="9"/>
      <name val="Calibri"/>
      <family val="2"/>
      <scheme val="minor"/>
    </font>
    <font>
      <b/>
      <sz val="9"/>
      <color indexed="9"/>
      <name val="Calibri"/>
      <family val="2"/>
      <scheme val="minor"/>
    </font>
    <font>
      <b/>
      <sz val="10"/>
      <color theme="0"/>
      <name val="Calibri"/>
      <family val="2"/>
      <scheme val="minor"/>
    </font>
    <font>
      <b/>
      <u/>
      <sz val="12"/>
      <name val="Calibri"/>
      <family val="2"/>
      <scheme val="minor"/>
    </font>
    <font>
      <sz val="10"/>
      <color rgb="FF0070C0"/>
      <name val="Calibri"/>
      <family val="2"/>
      <scheme val="minor"/>
    </font>
    <font>
      <b/>
      <sz val="10"/>
      <color rgb="FFFFFFFF"/>
      <name val="Arial"/>
      <family val="2"/>
    </font>
  </fonts>
  <fills count="11">
    <fill>
      <patternFill patternType="none"/>
    </fill>
    <fill>
      <patternFill patternType="gray125"/>
    </fill>
    <fill>
      <patternFill patternType="solid">
        <fgColor indexed="8"/>
        <bgColor indexed="64"/>
      </patternFill>
    </fill>
    <fill>
      <patternFill patternType="solid">
        <fgColor indexed="10"/>
        <bgColor indexed="64"/>
      </patternFill>
    </fill>
    <fill>
      <patternFill patternType="solid">
        <fgColor indexed="22"/>
        <bgColor indexed="64"/>
      </patternFill>
    </fill>
    <fill>
      <patternFill patternType="solid">
        <fgColor rgb="FFFFFF0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4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thin">
        <color auto="1"/>
      </right>
      <top/>
      <bottom/>
      <diagonal/>
    </border>
    <border>
      <left style="medium">
        <color indexed="64"/>
      </left>
      <right/>
      <top/>
      <bottom style="thin">
        <color theme="0"/>
      </bottom>
      <diagonal/>
    </border>
    <border>
      <left style="thin">
        <color theme="0"/>
      </left>
      <right style="thin">
        <color theme="0"/>
      </right>
      <top/>
      <bottom style="thin">
        <color theme="0"/>
      </bottom>
      <diagonal/>
    </border>
    <border>
      <left style="medium">
        <color indexed="64"/>
      </left>
      <right style="medium">
        <color indexed="64"/>
      </right>
      <top style="medium">
        <color indexed="64"/>
      </top>
      <bottom/>
      <diagonal/>
    </border>
    <border>
      <left style="thin">
        <color theme="0"/>
      </left>
      <right/>
      <top/>
      <bottom style="thin">
        <color theme="0"/>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theme="0"/>
      </right>
      <top/>
      <bottom style="thin">
        <color theme="0"/>
      </bottom>
      <diagonal/>
    </border>
    <border>
      <left/>
      <right/>
      <top/>
      <bottom style="thin">
        <color theme="0"/>
      </bottom>
      <diagonal/>
    </border>
    <border>
      <left/>
      <right style="thin">
        <color indexed="9"/>
      </right>
      <top/>
      <bottom style="thin">
        <color theme="0"/>
      </bottom>
      <diagonal/>
    </border>
    <border>
      <left style="thin">
        <color indexed="9"/>
      </left>
      <right style="thin">
        <color indexed="9"/>
      </right>
      <top/>
      <bottom style="thin">
        <color theme="0"/>
      </bottom>
      <diagonal/>
    </border>
    <border>
      <left style="thin">
        <color indexed="9"/>
      </left>
      <right/>
      <top/>
      <bottom style="thin">
        <color theme="0"/>
      </bottom>
      <diagonal/>
    </border>
    <border>
      <left/>
      <right style="medium">
        <color indexed="64"/>
      </right>
      <top/>
      <bottom style="thin">
        <color theme="0"/>
      </bottom>
      <diagonal/>
    </border>
    <border>
      <left style="thin">
        <color theme="0"/>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right style="thin">
        <color theme="0"/>
      </right>
      <top style="medium">
        <color indexed="64"/>
      </top>
      <bottom style="medium">
        <color indexed="64"/>
      </bottom>
      <diagonal/>
    </border>
    <border>
      <left style="thick">
        <color theme="0"/>
      </left>
      <right style="thick">
        <color theme="0"/>
      </right>
      <top style="thick">
        <color theme="0"/>
      </top>
      <bottom style="thick">
        <color theme="0"/>
      </bottom>
      <diagonal/>
    </border>
  </borders>
  <cellStyleXfs count="3">
    <xf numFmtId="0" fontId="0" fillId="0" borderId="0"/>
    <xf numFmtId="164" fontId="1" fillId="0" borderId="0" applyFont="0" applyFill="0" applyBorder="0" applyAlignment="0" applyProtection="0"/>
    <xf numFmtId="9" fontId="7" fillId="0" borderId="0" applyFont="0" applyFill="0" applyBorder="0" applyAlignment="0" applyProtection="0"/>
  </cellStyleXfs>
  <cellXfs count="164">
    <xf numFmtId="0" fontId="0" fillId="0" borderId="0" xfId="0"/>
    <xf numFmtId="0" fontId="2" fillId="0" borderId="0" xfId="0" applyFont="1"/>
    <xf numFmtId="0" fontId="5" fillId="3" borderId="8" xfId="0" applyFont="1" applyFill="1" applyBorder="1" applyAlignment="1">
      <alignment horizontal="centerContinuous" vertical="center"/>
    </xf>
    <xf numFmtId="0" fontId="5" fillId="3" borderId="9" xfId="0" applyFont="1" applyFill="1" applyBorder="1" applyAlignment="1">
      <alignment horizontal="centerContinuous" vertical="center"/>
    </xf>
    <xf numFmtId="0" fontId="5" fillId="3" borderId="10" xfId="0" applyFont="1" applyFill="1" applyBorder="1" applyAlignment="1">
      <alignment horizontal="centerContinuous" vertical="center"/>
    </xf>
    <xf numFmtId="0" fontId="6" fillId="0" borderId="0" xfId="0" applyFont="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8" fillId="0" borderId="0" xfId="0" applyFont="1"/>
    <xf numFmtId="0" fontId="9" fillId="0" borderId="0" xfId="0" applyFont="1"/>
    <xf numFmtId="0" fontId="8" fillId="0" borderId="0" xfId="0" applyFont="1" applyAlignment="1">
      <alignment horizontal="center"/>
    </xf>
    <xf numFmtId="0" fontId="8" fillId="0" borderId="19" xfId="0" applyFont="1" applyBorder="1"/>
    <xf numFmtId="0" fontId="8" fillId="0" borderId="0" xfId="0" applyFont="1" applyAlignment="1">
      <alignment horizontal="center" vertical="center" wrapText="1"/>
    </xf>
    <xf numFmtId="0" fontId="9" fillId="0" borderId="0" xfId="0" applyFont="1" applyAlignment="1">
      <alignment horizontal="center" vertical="center" wrapText="1"/>
    </xf>
    <xf numFmtId="167" fontId="8" fillId="0" borderId="0" xfId="0" applyNumberFormat="1" applyFont="1"/>
    <xf numFmtId="2" fontId="8" fillId="0" borderId="0" xfId="0" applyNumberFormat="1" applyFont="1"/>
    <xf numFmtId="3" fontId="8" fillId="0" borderId="0" xfId="0" applyNumberFormat="1" applyFont="1"/>
    <xf numFmtId="14" fontId="8" fillId="0" borderId="0" xfId="0" applyNumberFormat="1" applyFont="1"/>
    <xf numFmtId="1" fontId="8" fillId="0" borderId="0" xfId="0" applyNumberFormat="1" applyFont="1"/>
    <xf numFmtId="4" fontId="8" fillId="0" borderId="0" xfId="0" applyNumberFormat="1" applyFont="1"/>
    <xf numFmtId="170" fontId="8" fillId="0" borderId="0" xfId="0" applyNumberFormat="1" applyFont="1"/>
    <xf numFmtId="2" fontId="8" fillId="0" borderId="0" xfId="0" applyNumberFormat="1" applyFont="1" applyAlignment="1">
      <alignment horizontal="center"/>
    </xf>
    <xf numFmtId="0" fontId="13" fillId="2" borderId="23" xfId="0" applyFont="1" applyFill="1" applyBorder="1" applyAlignment="1" applyProtection="1">
      <alignment horizontal="right" vertical="center" wrapText="1"/>
      <protection hidden="1"/>
    </xf>
    <xf numFmtId="0" fontId="13" fillId="2" borderId="24" xfId="0" applyFont="1" applyFill="1" applyBorder="1" applyAlignment="1" applyProtection="1">
      <alignment horizontal="right" vertical="center" wrapText="1"/>
      <protection hidden="1"/>
    </xf>
    <xf numFmtId="0" fontId="8" fillId="0" borderId="6" xfId="0" applyFont="1" applyBorder="1" applyAlignment="1" applyProtection="1">
      <alignment horizontal="center"/>
      <protection hidden="1"/>
    </xf>
    <xf numFmtId="14" fontId="8" fillId="0" borderId="1" xfId="0" applyNumberFormat="1" applyFont="1" applyBorder="1" applyAlignment="1" applyProtection="1">
      <alignment horizontal="center"/>
      <protection hidden="1"/>
    </xf>
    <xf numFmtId="4" fontId="8" fillId="0" borderId="14" xfId="0" applyNumberFormat="1" applyFont="1" applyBorder="1" applyProtection="1">
      <protection hidden="1"/>
    </xf>
    <xf numFmtId="4" fontId="8" fillId="0" borderId="15" xfId="0" applyNumberFormat="1" applyFont="1" applyBorder="1" applyProtection="1">
      <protection hidden="1"/>
    </xf>
    <xf numFmtId="4" fontId="8" fillId="0" borderId="0" xfId="0" applyNumberFormat="1" applyFont="1" applyProtection="1">
      <protection hidden="1"/>
    </xf>
    <xf numFmtId="4" fontId="9" fillId="0" borderId="22" xfId="0" applyNumberFormat="1" applyFont="1" applyBorder="1" applyProtection="1">
      <protection hidden="1"/>
    </xf>
    <xf numFmtId="4" fontId="8" fillId="0" borderId="22" xfId="0" applyNumberFormat="1" applyFont="1" applyBorder="1" applyProtection="1">
      <protection hidden="1"/>
    </xf>
    <xf numFmtId="0" fontId="8" fillId="0" borderId="7" xfId="0" applyFont="1" applyBorder="1" applyAlignment="1" applyProtection="1">
      <alignment horizontal="center"/>
      <protection hidden="1"/>
    </xf>
    <xf numFmtId="4" fontId="8" fillId="0" borderId="4" xfId="0" applyNumberFormat="1" applyFont="1" applyBorder="1" applyProtection="1">
      <protection hidden="1"/>
    </xf>
    <xf numFmtId="10" fontId="8" fillId="7" borderId="10" xfId="0" applyNumberFormat="1" applyFont="1" applyFill="1" applyBorder="1" applyAlignment="1" applyProtection="1">
      <alignment horizontal="center"/>
      <protection hidden="1"/>
    </xf>
    <xf numFmtId="0" fontId="8" fillId="0" borderId="0" xfId="0" applyFont="1" applyProtection="1">
      <protection hidden="1"/>
    </xf>
    <xf numFmtId="0" fontId="11" fillId="0" borderId="0" xfId="0" applyFont="1" applyProtection="1">
      <protection hidden="1"/>
    </xf>
    <xf numFmtId="0" fontId="12" fillId="0" borderId="0" xfId="0" applyFont="1" applyProtection="1">
      <protection hidden="1"/>
    </xf>
    <xf numFmtId="0" fontId="11" fillId="5" borderId="0" xfId="0" applyFont="1" applyFill="1" applyProtection="1">
      <protection hidden="1"/>
    </xf>
    <xf numFmtId="0" fontId="12" fillId="5" borderId="0" xfId="0" applyFont="1" applyFill="1" applyProtection="1">
      <protection hidden="1"/>
    </xf>
    <xf numFmtId="0" fontId="9" fillId="5" borderId="0" xfId="0" applyFont="1" applyFill="1" applyProtection="1">
      <protection hidden="1"/>
    </xf>
    <xf numFmtId="0" fontId="9" fillId="0" borderId="0" xfId="0" applyFont="1" applyProtection="1">
      <protection hidden="1"/>
    </xf>
    <xf numFmtId="171" fontId="14" fillId="0" borderId="0" xfId="0" applyNumberFormat="1" applyFont="1" applyProtection="1">
      <protection hidden="1"/>
    </xf>
    <xf numFmtId="0" fontId="14" fillId="0" borderId="0" xfId="0" applyFont="1" applyProtection="1">
      <protection hidden="1"/>
    </xf>
    <xf numFmtId="0" fontId="17" fillId="0" borderId="0" xfId="0" applyFont="1" applyProtection="1">
      <protection hidden="1"/>
    </xf>
    <xf numFmtId="4" fontId="14" fillId="0" borderId="0" xfId="0" applyNumberFormat="1" applyFont="1" applyAlignment="1" applyProtection="1">
      <alignment horizontal="center"/>
      <protection hidden="1"/>
    </xf>
    <xf numFmtId="164" fontId="8" fillId="0" borderId="0" xfId="1" applyFont="1"/>
    <xf numFmtId="166" fontId="9" fillId="0" borderId="0" xfId="2" applyNumberFormat="1" applyFont="1" applyBorder="1" applyProtection="1">
      <protection hidden="1"/>
    </xf>
    <xf numFmtId="0" fontId="8" fillId="0" borderId="0" xfId="0" applyFont="1" applyAlignment="1" applyProtection="1">
      <alignment horizontal="center"/>
      <protection hidden="1"/>
    </xf>
    <xf numFmtId="14" fontId="8" fillId="0" borderId="0" xfId="0" applyNumberFormat="1" applyFont="1" applyAlignment="1" applyProtection="1">
      <alignment horizontal="center"/>
      <protection hidden="1"/>
    </xf>
    <xf numFmtId="0" fontId="17" fillId="6" borderId="10" xfId="0" applyFont="1" applyFill="1" applyBorder="1" applyAlignment="1" applyProtection="1">
      <alignment horizontal="center"/>
      <protection hidden="1"/>
    </xf>
    <xf numFmtId="0" fontId="12" fillId="0" borderId="20" xfId="0" applyFont="1" applyBorder="1" applyAlignment="1" applyProtection="1">
      <alignment horizontal="center"/>
      <protection hidden="1"/>
    </xf>
    <xf numFmtId="0" fontId="14" fillId="6" borderId="0" xfId="0" applyFont="1" applyFill="1" applyAlignment="1">
      <alignment horizontal="center" vertical="center" wrapText="1"/>
    </xf>
    <xf numFmtId="0" fontId="13" fillId="2" borderId="26" xfId="0" applyFont="1" applyFill="1" applyBorder="1" applyAlignment="1" applyProtection="1">
      <alignment horizontal="right" vertical="center" wrapText="1"/>
      <protection hidden="1"/>
    </xf>
    <xf numFmtId="14" fontId="8" fillId="0" borderId="28" xfId="0" applyNumberFormat="1" applyFont="1" applyBorder="1" applyAlignment="1" applyProtection="1">
      <alignment horizontal="center"/>
      <protection hidden="1"/>
    </xf>
    <xf numFmtId="14" fontId="8" fillId="0" borderId="27" xfId="0" applyNumberFormat="1" applyFont="1" applyBorder="1" applyAlignment="1" applyProtection="1">
      <alignment horizontal="center"/>
      <protection hidden="1"/>
    </xf>
    <xf numFmtId="4" fontId="8" fillId="0" borderId="29" xfId="0" applyNumberFormat="1" applyFont="1" applyBorder="1" applyProtection="1">
      <protection hidden="1"/>
    </xf>
    <xf numFmtId="4" fontId="8" fillId="0" borderId="30" xfId="0" applyNumberFormat="1" applyFont="1" applyBorder="1" applyProtection="1">
      <protection hidden="1"/>
    </xf>
    <xf numFmtId="172" fontId="8" fillId="0" borderId="0" xfId="0" applyNumberFormat="1" applyFont="1"/>
    <xf numFmtId="169" fontId="14" fillId="0" borderId="0" xfId="0" applyNumberFormat="1" applyFont="1" applyProtection="1">
      <protection hidden="1"/>
    </xf>
    <xf numFmtId="168" fontId="14" fillId="0" borderId="0" xfId="2" applyNumberFormat="1" applyFont="1" applyBorder="1" applyProtection="1">
      <protection hidden="1"/>
    </xf>
    <xf numFmtId="0" fontId="14" fillId="0" borderId="0" xfId="0" applyFont="1"/>
    <xf numFmtId="8" fontId="8" fillId="0" borderId="0" xfId="0" applyNumberFormat="1" applyFont="1" applyProtection="1">
      <protection hidden="1"/>
    </xf>
    <xf numFmtId="0" fontId="15" fillId="2" borderId="19" xfId="0" applyFont="1" applyFill="1" applyBorder="1" applyAlignment="1">
      <alignment vertical="center" wrapText="1"/>
    </xf>
    <xf numFmtId="0" fontId="17" fillId="5" borderId="0" xfId="0" applyFont="1" applyFill="1" applyProtection="1">
      <protection hidden="1"/>
    </xf>
    <xf numFmtId="2" fontId="14" fillId="0" borderId="0" xfId="0" applyNumberFormat="1" applyFont="1" applyProtection="1">
      <protection hidden="1"/>
    </xf>
    <xf numFmtId="8" fontId="17" fillId="0" borderId="0" xfId="0" applyNumberFormat="1" applyFont="1" applyProtection="1">
      <protection hidden="1"/>
    </xf>
    <xf numFmtId="165" fontId="17" fillId="0" borderId="0" xfId="0" applyNumberFormat="1" applyFont="1" applyProtection="1">
      <protection hidden="1"/>
    </xf>
    <xf numFmtId="173" fontId="17" fillId="0" borderId="0" xfId="0" applyNumberFormat="1" applyFont="1" applyProtection="1">
      <protection hidden="1"/>
    </xf>
    <xf numFmtId="4" fontId="14" fillId="0" borderId="0" xfId="0" applyNumberFormat="1" applyFont="1" applyProtection="1">
      <protection hidden="1"/>
    </xf>
    <xf numFmtId="4" fontId="8" fillId="0" borderId="2" xfId="0" applyNumberFormat="1" applyFont="1" applyBorder="1" applyProtection="1">
      <protection hidden="1"/>
    </xf>
    <xf numFmtId="4" fontId="8" fillId="0" borderId="5" xfId="0" applyNumberFormat="1" applyFont="1" applyBorder="1" applyProtection="1">
      <protection hidden="1"/>
    </xf>
    <xf numFmtId="0" fontId="17" fillId="6" borderId="8" xfId="0" applyFont="1" applyFill="1" applyBorder="1" applyProtection="1">
      <protection hidden="1"/>
    </xf>
    <xf numFmtId="0" fontId="17" fillId="6" borderId="9" xfId="0" applyFont="1" applyFill="1" applyBorder="1" applyProtection="1">
      <protection hidden="1"/>
    </xf>
    <xf numFmtId="4" fontId="17" fillId="6" borderId="9" xfId="0" applyNumberFormat="1" applyFont="1" applyFill="1" applyBorder="1" applyProtection="1">
      <protection hidden="1"/>
    </xf>
    <xf numFmtId="4" fontId="17" fillId="6" borderId="10" xfId="0" applyNumberFormat="1" applyFont="1" applyFill="1" applyBorder="1" applyProtection="1">
      <protection hidden="1"/>
    </xf>
    <xf numFmtId="0" fontId="13" fillId="2" borderId="31" xfId="0" applyFont="1" applyFill="1" applyBorder="1" applyAlignment="1" applyProtection="1">
      <alignment vertical="center" wrapText="1"/>
      <protection hidden="1"/>
    </xf>
    <xf numFmtId="0" fontId="13" fillId="2" borderId="26" xfId="0" applyFont="1" applyFill="1" applyBorder="1" applyAlignment="1" applyProtection="1">
      <alignment vertical="center" wrapText="1"/>
      <protection hidden="1"/>
    </xf>
    <xf numFmtId="0" fontId="13" fillId="2" borderId="32" xfId="0" applyFont="1" applyFill="1" applyBorder="1" applyAlignment="1" applyProtection="1">
      <alignment vertical="center" wrapText="1"/>
      <protection hidden="1"/>
    </xf>
    <xf numFmtId="4" fontId="13" fillId="2" borderId="33" xfId="0" applyNumberFormat="1" applyFont="1" applyFill="1" applyBorder="1" applyAlignment="1" applyProtection="1">
      <alignment horizontal="center" vertical="center" wrapText="1"/>
      <protection hidden="1"/>
    </xf>
    <xf numFmtId="4" fontId="13" fillId="2" borderId="34" xfId="0" applyNumberFormat="1" applyFont="1" applyFill="1" applyBorder="1" applyAlignment="1" applyProtection="1">
      <alignment horizontal="center" vertical="center" wrapText="1"/>
      <protection hidden="1"/>
    </xf>
    <xf numFmtId="4" fontId="13" fillId="2" borderId="35" xfId="0" applyNumberFormat="1" applyFont="1" applyFill="1" applyBorder="1" applyAlignment="1" applyProtection="1">
      <alignment horizontal="center" vertical="center" wrapText="1"/>
      <protection hidden="1"/>
    </xf>
    <xf numFmtId="4" fontId="13" fillId="2" borderId="32" xfId="0" applyNumberFormat="1" applyFont="1" applyFill="1" applyBorder="1" applyAlignment="1" applyProtection="1">
      <alignment horizontal="center" vertical="center" wrapText="1"/>
      <protection hidden="1"/>
    </xf>
    <xf numFmtId="4" fontId="13" fillId="2" borderId="24" xfId="0" applyNumberFormat="1" applyFont="1" applyFill="1" applyBorder="1" applyAlignment="1" applyProtection="1">
      <alignment horizontal="center" vertical="center" wrapText="1"/>
      <protection hidden="1"/>
    </xf>
    <xf numFmtId="4" fontId="13" fillId="2" borderId="36" xfId="0" applyNumberFormat="1" applyFont="1" applyFill="1" applyBorder="1" applyAlignment="1" applyProtection="1">
      <alignment horizontal="center" vertical="center" wrapText="1"/>
      <protection hidden="1"/>
    </xf>
    <xf numFmtId="0" fontId="13" fillId="6" borderId="8" xfId="0" applyFont="1" applyFill="1" applyBorder="1" applyAlignment="1" applyProtection="1">
      <alignment horizontal="center" vertical="center" wrapText="1"/>
      <protection hidden="1"/>
    </xf>
    <xf numFmtId="0" fontId="13" fillId="6" borderId="37" xfId="0" applyFont="1" applyFill="1" applyBorder="1" applyAlignment="1" applyProtection="1">
      <alignment horizontal="center" vertical="center" wrapText="1"/>
      <protection hidden="1"/>
    </xf>
    <xf numFmtId="0" fontId="13" fillId="6" borderId="38" xfId="0" applyFont="1" applyFill="1" applyBorder="1" applyAlignment="1" applyProtection="1">
      <alignment horizontal="center" vertical="center" wrapText="1"/>
      <protection hidden="1"/>
    </xf>
    <xf numFmtId="0" fontId="13" fillId="6" borderId="39" xfId="0" applyFont="1" applyFill="1" applyBorder="1" applyAlignment="1" applyProtection="1">
      <alignment horizontal="center" vertical="center" wrapText="1"/>
      <protection hidden="1"/>
    </xf>
    <xf numFmtId="0" fontId="13" fillId="6" borderId="9" xfId="0" applyFont="1" applyFill="1" applyBorder="1" applyAlignment="1" applyProtection="1">
      <alignment horizontal="center" vertical="center" wrapText="1"/>
      <protection hidden="1"/>
    </xf>
    <xf numFmtId="0" fontId="16" fillId="6" borderId="9" xfId="0" applyFont="1" applyFill="1" applyBorder="1" applyAlignment="1" applyProtection="1">
      <alignment horizontal="center" vertical="center" wrapText="1"/>
      <protection hidden="1"/>
    </xf>
    <xf numFmtId="0" fontId="13" fillId="6" borderId="10" xfId="0" applyFont="1" applyFill="1" applyBorder="1" applyAlignment="1" applyProtection="1">
      <alignment horizontal="center" vertical="center" wrapText="1"/>
      <protection hidden="1"/>
    </xf>
    <xf numFmtId="0" fontId="8" fillId="0" borderId="1" xfId="0" applyFont="1" applyBorder="1" applyProtection="1">
      <protection hidden="1"/>
    </xf>
    <xf numFmtId="0" fontId="8" fillId="0" borderId="2" xfId="0" applyFont="1" applyBorder="1" applyProtection="1">
      <protection hidden="1"/>
    </xf>
    <xf numFmtId="0" fontId="14" fillId="0" borderId="2" xfId="0" applyFont="1" applyBorder="1" applyProtection="1">
      <protection hidden="1"/>
    </xf>
    <xf numFmtId="0" fontId="13" fillId="6" borderId="1" xfId="0" applyFont="1" applyFill="1" applyBorder="1" applyProtection="1">
      <protection hidden="1"/>
    </xf>
    <xf numFmtId="0" fontId="13" fillId="6" borderId="0" xfId="0" applyFont="1" applyFill="1" applyProtection="1">
      <protection hidden="1"/>
    </xf>
    <xf numFmtId="168" fontId="14" fillId="0" borderId="0" xfId="0" applyNumberFormat="1" applyFont="1" applyProtection="1">
      <protection hidden="1"/>
    </xf>
    <xf numFmtId="168" fontId="14" fillId="0" borderId="2" xfId="0" applyNumberFormat="1" applyFont="1" applyBorder="1" applyAlignment="1" applyProtection="1">
      <alignment horizontal="center"/>
      <protection hidden="1"/>
    </xf>
    <xf numFmtId="0" fontId="13" fillId="6" borderId="2" xfId="0" applyFont="1" applyFill="1" applyBorder="1" applyProtection="1">
      <protection hidden="1"/>
    </xf>
    <xf numFmtId="0" fontId="13" fillId="6" borderId="3" xfId="0" applyFont="1" applyFill="1" applyBorder="1" applyProtection="1">
      <protection hidden="1"/>
    </xf>
    <xf numFmtId="0" fontId="13" fillId="6" borderId="4" xfId="0" applyFont="1" applyFill="1" applyBorder="1" applyProtection="1">
      <protection hidden="1"/>
    </xf>
    <xf numFmtId="0" fontId="13" fillId="6" borderId="5" xfId="0" applyFont="1" applyFill="1" applyBorder="1" applyProtection="1">
      <protection hidden="1"/>
    </xf>
    <xf numFmtId="10" fontId="8" fillId="0" borderId="5" xfId="0" applyNumberFormat="1" applyFont="1" applyBorder="1" applyAlignment="1" applyProtection="1">
      <alignment horizontal="center"/>
      <protection hidden="1"/>
    </xf>
    <xf numFmtId="164" fontId="8" fillId="0" borderId="0" xfId="1" applyFont="1" applyFill="1" applyBorder="1" applyProtection="1">
      <protection hidden="1"/>
    </xf>
    <xf numFmtId="0" fontId="9" fillId="0" borderId="1" xfId="0" applyFont="1" applyBorder="1" applyProtection="1">
      <protection hidden="1"/>
    </xf>
    <xf numFmtId="0" fontId="8" fillId="0" borderId="0" xfId="0" applyFont="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17" fillId="0" borderId="0" xfId="0" applyFont="1" applyAlignment="1" applyProtection="1">
      <alignment horizontal="center" vertical="center" wrapText="1"/>
      <protection hidden="1"/>
    </xf>
    <xf numFmtId="0" fontId="8" fillId="9" borderId="0" xfId="0" applyFont="1" applyFill="1" applyProtection="1">
      <protection hidden="1"/>
    </xf>
    <xf numFmtId="0" fontId="18" fillId="8" borderId="0" xfId="0" applyFont="1" applyFill="1" applyProtection="1">
      <protection hidden="1"/>
    </xf>
    <xf numFmtId="0" fontId="8" fillId="8" borderId="0" xfId="0" applyFont="1" applyFill="1" applyProtection="1">
      <protection hidden="1"/>
    </xf>
    <xf numFmtId="0" fontId="9" fillId="8" borderId="0" xfId="0" applyFont="1" applyFill="1" applyProtection="1">
      <protection hidden="1"/>
    </xf>
    <xf numFmtId="0" fontId="8" fillId="0" borderId="25" xfId="0" applyFont="1" applyBorder="1" applyAlignment="1" applyProtection="1">
      <alignment horizontal="center"/>
      <protection locked="0" hidden="1"/>
    </xf>
    <xf numFmtId="4" fontId="8" fillId="0" borderId="6" xfId="0" applyNumberFormat="1" applyFont="1" applyBorder="1" applyAlignment="1" applyProtection="1">
      <alignment horizontal="center" vertical="center"/>
      <protection locked="0" hidden="1"/>
    </xf>
    <xf numFmtId="4" fontId="8" fillId="8" borderId="6" xfId="0" applyNumberFormat="1" applyFont="1" applyFill="1" applyBorder="1" applyAlignment="1" applyProtection="1">
      <alignment horizontal="center"/>
      <protection locked="0" hidden="1"/>
    </xf>
    <xf numFmtId="4" fontId="8" fillId="0" borderId="6" xfId="0" applyNumberFormat="1" applyFont="1" applyBorder="1" applyAlignment="1" applyProtection="1">
      <alignment horizontal="center"/>
      <protection locked="0" hidden="1"/>
    </xf>
    <xf numFmtId="0" fontId="8" fillId="0" borderId="0" xfId="0" applyFont="1" applyProtection="1">
      <protection locked="0" hidden="1"/>
    </xf>
    <xf numFmtId="14" fontId="8" fillId="0" borderId="6" xfId="0" applyNumberFormat="1" applyFont="1" applyBorder="1" applyAlignment="1" applyProtection="1">
      <alignment horizontal="center"/>
      <protection locked="0" hidden="1"/>
    </xf>
    <xf numFmtId="0" fontId="12" fillId="0" borderId="6" xfId="0" applyFont="1" applyBorder="1" applyAlignment="1" applyProtection="1">
      <alignment horizontal="center" vertical="center"/>
      <protection locked="0" hidden="1"/>
    </xf>
    <xf numFmtId="0" fontId="8" fillId="4" borderId="6" xfId="0" applyFont="1" applyFill="1" applyBorder="1" applyAlignment="1" applyProtection="1">
      <alignment horizontal="center"/>
      <protection locked="0" hidden="1"/>
    </xf>
    <xf numFmtId="0" fontId="8" fillId="0" borderId="6" xfId="0" applyFont="1" applyBorder="1" applyAlignment="1" applyProtection="1">
      <alignment horizontal="center"/>
      <protection locked="0" hidden="1"/>
    </xf>
    <xf numFmtId="14" fontId="8" fillId="7" borderId="6" xfId="0" applyNumberFormat="1" applyFont="1" applyFill="1" applyBorder="1" applyAlignment="1" applyProtection="1">
      <alignment horizontal="center"/>
      <protection locked="0" hidden="1"/>
    </xf>
    <xf numFmtId="10" fontId="8" fillId="0" borderId="6" xfId="0" applyNumberFormat="1" applyFont="1" applyBorder="1" applyAlignment="1" applyProtection="1">
      <alignment horizontal="center" vertical="center"/>
      <protection locked="0" hidden="1"/>
    </xf>
    <xf numFmtId="10" fontId="8" fillId="0" borderId="6" xfId="0" applyNumberFormat="1" applyFont="1" applyBorder="1" applyAlignment="1" applyProtection="1">
      <alignment horizontal="center"/>
      <protection locked="0" hidden="1"/>
    </xf>
    <xf numFmtId="2" fontId="8" fillId="0" borderId="6" xfId="1" applyNumberFormat="1" applyFont="1" applyBorder="1" applyAlignment="1" applyProtection="1">
      <alignment horizontal="center" vertical="center"/>
      <protection locked="0" hidden="1"/>
    </xf>
    <xf numFmtId="4" fontId="8" fillId="4" borderId="6" xfId="0" applyNumberFormat="1" applyFont="1" applyFill="1" applyBorder="1" applyAlignment="1" applyProtection="1">
      <alignment horizontal="center"/>
      <protection locked="0" hidden="1"/>
    </xf>
    <xf numFmtId="165" fontId="8" fillId="7" borderId="6" xfId="2" applyNumberFormat="1" applyFont="1" applyFill="1" applyBorder="1" applyAlignment="1" applyProtection="1">
      <alignment horizontal="center"/>
      <protection locked="0" hidden="1"/>
    </xf>
    <xf numFmtId="10" fontId="8" fillId="7" borderId="6" xfId="2" applyNumberFormat="1" applyFont="1" applyFill="1" applyBorder="1" applyAlignment="1" applyProtection="1">
      <alignment horizontal="center"/>
      <protection locked="0" hidden="1"/>
    </xf>
    <xf numFmtId="0" fontId="19" fillId="0" borderId="2" xfId="0" applyFont="1" applyBorder="1" applyProtection="1">
      <protection hidden="1"/>
    </xf>
    <xf numFmtId="168" fontId="8" fillId="0" borderId="2" xfId="0" applyNumberFormat="1" applyFont="1" applyBorder="1" applyAlignment="1" applyProtection="1">
      <alignment horizontal="center"/>
      <protection hidden="1"/>
    </xf>
    <xf numFmtId="0" fontId="20" fillId="6" borderId="40" xfId="0" applyFont="1" applyFill="1" applyBorder="1" applyAlignment="1">
      <alignment horizontal="center" vertical="center" wrapText="1"/>
    </xf>
    <xf numFmtId="0" fontId="1" fillId="10" borderId="40"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3" fillId="6" borderId="1" xfId="0" applyFont="1" applyFill="1" applyBorder="1" applyAlignment="1" applyProtection="1">
      <alignment horizontal="left" vertical="center" wrapText="1"/>
      <protection hidden="1"/>
    </xf>
    <xf numFmtId="0" fontId="13" fillId="6" borderId="0" xfId="0" applyFont="1" applyFill="1" applyAlignment="1" applyProtection="1">
      <alignment horizontal="left" vertical="center" wrapText="1"/>
      <protection hidden="1"/>
    </xf>
    <xf numFmtId="0" fontId="13" fillId="6" borderId="2" xfId="0" applyFont="1" applyFill="1" applyBorder="1" applyAlignment="1" applyProtection="1">
      <alignment horizontal="left" vertical="center" wrapText="1"/>
      <protection hidden="1"/>
    </xf>
    <xf numFmtId="0" fontId="15" fillId="2" borderId="19" xfId="0" applyFont="1" applyFill="1" applyBorder="1" applyAlignment="1">
      <alignment horizontal="center" vertical="center" wrapText="1"/>
    </xf>
    <xf numFmtId="0" fontId="10" fillId="3" borderId="8" xfId="0" applyFont="1" applyFill="1" applyBorder="1" applyAlignment="1" applyProtection="1">
      <alignment horizontal="center"/>
      <protection hidden="1"/>
    </xf>
    <xf numFmtId="0" fontId="10" fillId="3" borderId="9" xfId="0" applyFont="1" applyFill="1" applyBorder="1" applyAlignment="1" applyProtection="1">
      <alignment horizontal="center"/>
      <protection hidden="1"/>
    </xf>
    <xf numFmtId="0" fontId="10" fillId="3" borderId="10" xfId="0" applyFont="1" applyFill="1" applyBorder="1" applyAlignment="1" applyProtection="1">
      <alignment horizontal="center"/>
      <protection hidden="1"/>
    </xf>
    <xf numFmtId="0" fontId="1" fillId="8" borderId="0" xfId="0" applyFont="1" applyFill="1" applyAlignment="1" applyProtection="1">
      <alignment horizontal="left" vertical="top" wrapText="1"/>
      <protection hidden="1"/>
    </xf>
    <xf numFmtId="0" fontId="13" fillId="6" borderId="1" xfId="0" applyFont="1" applyFill="1" applyBorder="1" applyProtection="1">
      <protection hidden="1"/>
    </xf>
    <xf numFmtId="0" fontId="13" fillId="6" borderId="0" xfId="0" applyFont="1" applyFill="1" applyProtection="1">
      <protection hidden="1"/>
    </xf>
    <xf numFmtId="0" fontId="13" fillId="6" borderId="1" xfId="0" applyFont="1" applyFill="1" applyBorder="1" applyAlignment="1" applyProtection="1">
      <alignment horizontal="left" vertical="top"/>
      <protection hidden="1"/>
    </xf>
    <xf numFmtId="0" fontId="13" fillId="6" borderId="0" xfId="0" applyFont="1" applyFill="1" applyAlignment="1" applyProtection="1">
      <alignment horizontal="left" vertical="top"/>
      <protection hidden="1"/>
    </xf>
    <xf numFmtId="0" fontId="13" fillId="6" borderId="8" xfId="0" applyFont="1" applyFill="1" applyBorder="1" applyProtection="1">
      <protection hidden="1"/>
    </xf>
    <xf numFmtId="0" fontId="13" fillId="6" borderId="9" xfId="0" applyFont="1" applyFill="1" applyBorder="1" applyProtection="1">
      <protection hidden="1"/>
    </xf>
    <xf numFmtId="0" fontId="13" fillId="6" borderId="10" xfId="0" applyFont="1" applyFill="1" applyBorder="1" applyProtection="1">
      <protection hidden="1"/>
    </xf>
    <xf numFmtId="0" fontId="13" fillId="6" borderId="21" xfId="0" applyFont="1" applyFill="1" applyBorder="1" applyProtection="1">
      <protection hidden="1"/>
    </xf>
    <xf numFmtId="0" fontId="13" fillId="6" borderId="19" xfId="0" applyFont="1" applyFill="1" applyBorder="1" applyProtection="1">
      <protection hidden="1"/>
    </xf>
    <xf numFmtId="0" fontId="13" fillId="6" borderId="1" xfId="0" applyFont="1" applyFill="1" applyBorder="1" applyAlignment="1" applyProtection="1">
      <alignment wrapText="1"/>
      <protection hidden="1"/>
    </xf>
    <xf numFmtId="0" fontId="13" fillId="6" borderId="0" xfId="0" applyFont="1" applyFill="1" applyAlignment="1" applyProtection="1">
      <alignment wrapText="1"/>
      <protection hidden="1"/>
    </xf>
    <xf numFmtId="0" fontId="13" fillId="6" borderId="0" xfId="0" applyFont="1" applyFill="1" applyBorder="1" applyAlignment="1" applyProtection="1">
      <alignment horizontal="left" vertical="center" wrapText="1"/>
      <protection hidden="1"/>
    </xf>
    <xf numFmtId="0" fontId="0" fillId="8" borderId="0" xfId="0" applyFill="1" applyAlignment="1" applyProtection="1">
      <alignment horizontal="left" vertical="justify"/>
      <protection hidden="1"/>
    </xf>
    <xf numFmtId="0" fontId="1" fillId="8" borderId="0" xfId="0" applyFont="1" applyFill="1" applyAlignment="1" applyProtection="1">
      <alignment horizontal="justify" vertical="center" wrapText="1"/>
      <protection hidden="1"/>
    </xf>
    <xf numFmtId="0" fontId="0" fillId="8" borderId="0" xfId="0" applyFill="1" applyAlignment="1" applyProtection="1">
      <alignment horizontal="justify" vertical="center" wrapText="1"/>
      <protection hidden="1"/>
    </xf>
    <xf numFmtId="0" fontId="0" fillId="8" borderId="0" xfId="0" applyFill="1" applyAlignment="1" applyProtection="1">
      <alignment horizontal="justify" vertical="top" wrapText="1"/>
      <protection hidden="1"/>
    </xf>
  </cellXfs>
  <cellStyles count="3">
    <cellStyle name="Millares" xfId="1" builtinId="3"/>
    <cellStyle name="Normal" xfId="0" builtinId="0"/>
    <cellStyle name="Porcentaje" xfId="2" builtinId="5"/>
  </cellStyles>
  <dxfs count="2">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wmf"/><Relationship Id="rId7" Type="http://schemas.openxmlformats.org/officeDocument/2006/relationships/image" Target="../media/image8.emf"/><Relationship Id="rId2" Type="http://schemas.openxmlformats.org/officeDocument/2006/relationships/image" Target="../media/image3.wmf"/><Relationship Id="rId1" Type="http://schemas.openxmlformats.org/officeDocument/2006/relationships/image" Target="../media/image2.emf"/><Relationship Id="rId6" Type="http://schemas.openxmlformats.org/officeDocument/2006/relationships/image" Target="../media/image7.wmf"/><Relationship Id="rId5" Type="http://schemas.openxmlformats.org/officeDocument/2006/relationships/image" Target="../media/image6.wmf"/><Relationship Id="rId4" Type="http://schemas.openxmlformats.org/officeDocument/2006/relationships/image" Target="../media/image5.emf"/><Relationship Id="rId9"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0</xdr:col>
      <xdr:colOff>172418</xdr:colOff>
      <xdr:row>37</xdr:row>
      <xdr:rowOff>48866</xdr:rowOff>
    </xdr:from>
    <xdr:to>
      <xdr:col>4</xdr:col>
      <xdr:colOff>945736</xdr:colOff>
      <xdr:row>39</xdr:row>
      <xdr:rowOff>27609</xdr:rowOff>
    </xdr:to>
    <xdr:sp macro="" textlink="">
      <xdr:nvSpPr>
        <xdr:cNvPr id="1133" name="Text Box 109">
          <a:extLst>
            <a:ext uri="{FF2B5EF4-FFF2-40B4-BE49-F238E27FC236}">
              <a16:creationId xmlns:a16="http://schemas.microsoft.com/office/drawing/2014/main" id="{00000000-0008-0000-0000-00006D040000}"/>
            </a:ext>
          </a:extLst>
        </xdr:cNvPr>
        <xdr:cNvSpPr txBox="1">
          <a:spLocks noChangeArrowheads="1"/>
        </xdr:cNvSpPr>
      </xdr:nvSpPr>
      <xdr:spPr bwMode="auto">
        <a:xfrm>
          <a:off x="172418" y="3541366"/>
          <a:ext cx="3906905" cy="151297"/>
        </a:xfrm>
        <a:prstGeom prst="rect">
          <a:avLst/>
        </a:prstGeom>
        <a:noFill/>
        <a:ln w="9525">
          <a:noFill/>
          <a:miter lim="800000"/>
          <a:headEnd/>
          <a:tailEnd/>
        </a:ln>
      </xdr:spPr>
      <xdr:txBody>
        <a:bodyPr vertOverflow="clip" wrap="square" lIns="27432" tIns="22860" rIns="27432" bIns="0" anchor="t" upright="1"/>
        <a:lstStyle/>
        <a:p>
          <a:pPr marL="0" marR="0" lvl="0" indent="0" algn="just" defTabSz="914400" rtl="0" eaLnBrk="1" fontAlgn="auto" latinLnBrk="0" hangingPunct="1">
            <a:lnSpc>
              <a:spcPts val="700"/>
            </a:lnSpc>
            <a:spcBef>
              <a:spcPts val="0"/>
            </a:spcBef>
            <a:spcAft>
              <a:spcPts val="0"/>
            </a:spcAft>
            <a:buClrTx/>
            <a:buSzTx/>
            <a:buFontTx/>
            <a:buNone/>
            <a:tabLst/>
            <a:defRPr sz="1000"/>
          </a:pPr>
          <a:r>
            <a:rPr lang="es-PE" sz="800" b="1" i="1" baseline="0">
              <a:latin typeface="Arial" pitchFamily="34" charset="0"/>
              <a:ea typeface="+mn-ea"/>
              <a:cs typeface="Arial" pitchFamily="34" charset="0"/>
            </a:rPr>
            <a:t>Revisar las notas ubicadas al final del cronograma</a:t>
          </a:r>
        </a:p>
        <a:p>
          <a:pPr algn="just" rtl="0">
            <a:lnSpc>
              <a:spcPts val="700"/>
            </a:lnSpc>
            <a:defRPr sz="1000"/>
          </a:pPr>
          <a:endParaRPr lang="es-PE" sz="800" b="1" i="1" u="none" strike="noStrike" baseline="0">
            <a:solidFill>
              <a:srgbClr val="000000"/>
            </a:solidFill>
            <a:latin typeface="Arial"/>
            <a:cs typeface="Arial"/>
          </a:endParaRPr>
        </a:p>
      </xdr:txBody>
    </xdr:sp>
    <xdr:clientData/>
  </xdr:twoCellAnchor>
  <xdr:twoCellAnchor editAs="oneCell">
    <xdr:from>
      <xdr:col>1</xdr:col>
      <xdr:colOff>41413</xdr:colOff>
      <xdr:row>0</xdr:row>
      <xdr:rowOff>58317</xdr:rowOff>
    </xdr:from>
    <xdr:to>
      <xdr:col>3</xdr:col>
      <xdr:colOff>296793</xdr:colOff>
      <xdr:row>4</xdr:row>
      <xdr:rowOff>57847</xdr:rowOff>
    </xdr:to>
    <xdr:pic>
      <xdr:nvPicPr>
        <xdr:cNvPr id="4" name="1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772" y="58317"/>
          <a:ext cx="2091358" cy="690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0</xdr:rowOff>
    </xdr:from>
    <xdr:to>
      <xdr:col>3</xdr:col>
      <xdr:colOff>752475</xdr:colOff>
      <xdr:row>5</xdr:row>
      <xdr:rowOff>114300</xdr:rowOff>
    </xdr:to>
    <xdr:pic>
      <xdr:nvPicPr>
        <xdr:cNvPr id="3099" name="Picture 10">
          <a:extLst>
            <a:ext uri="{FF2B5EF4-FFF2-40B4-BE49-F238E27FC236}">
              <a16:creationId xmlns:a16="http://schemas.microsoft.com/office/drawing/2014/main" id="{00000000-0008-0000-0100-00001B0C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1925" y="0"/>
          <a:ext cx="23241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xdr:col>
          <xdr:colOff>142875</xdr:colOff>
          <xdr:row>12</xdr:row>
          <xdr:rowOff>66675</xdr:rowOff>
        </xdr:from>
        <xdr:to>
          <xdr:col>4</xdr:col>
          <xdr:colOff>28575</xdr:colOff>
          <xdr:row>16</xdr:row>
          <xdr:rowOff>123825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85725</xdr:colOff>
          <xdr:row>24</xdr:row>
          <xdr:rowOff>47625</xdr:rowOff>
        </xdr:from>
        <xdr:to>
          <xdr:col>3</xdr:col>
          <xdr:colOff>485775</xdr:colOff>
          <xdr:row>28</xdr:row>
          <xdr:rowOff>9525</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24</xdr:row>
          <xdr:rowOff>104775</xdr:rowOff>
        </xdr:from>
        <xdr:to>
          <xdr:col>6</xdr:col>
          <xdr:colOff>714375</xdr:colOff>
          <xdr:row>28</xdr:row>
          <xdr:rowOff>66675</xdr:rowOff>
        </xdr:to>
        <xdr:sp macro="" textlink="">
          <xdr:nvSpPr>
            <xdr:cNvPr id="3075" name="Object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30</xdr:row>
          <xdr:rowOff>142875</xdr:rowOff>
        </xdr:from>
        <xdr:to>
          <xdr:col>2</xdr:col>
          <xdr:colOff>457200</xdr:colOff>
          <xdr:row>33</xdr:row>
          <xdr:rowOff>28575</xdr:rowOff>
        </xdr:to>
        <xdr:sp macro="" textlink="">
          <xdr:nvSpPr>
            <xdr:cNvPr id="3076" name="Object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66675</xdr:colOff>
          <xdr:row>37</xdr:row>
          <xdr:rowOff>142875</xdr:rowOff>
        </xdr:from>
        <xdr:to>
          <xdr:col>2</xdr:col>
          <xdr:colOff>428625</xdr:colOff>
          <xdr:row>40</xdr:row>
          <xdr:rowOff>28575</xdr:rowOff>
        </xdr:to>
        <xdr:sp macro="" textlink="">
          <xdr:nvSpPr>
            <xdr:cNvPr id="3077" name="Object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20</xdr:row>
          <xdr:rowOff>47625</xdr:rowOff>
        </xdr:from>
        <xdr:to>
          <xdr:col>2</xdr:col>
          <xdr:colOff>714375</xdr:colOff>
          <xdr:row>22</xdr:row>
          <xdr:rowOff>66675</xdr:rowOff>
        </xdr:to>
        <xdr:sp macro="" textlink="">
          <xdr:nvSpPr>
            <xdr:cNvPr id="3078" name="Object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13</xdr:row>
          <xdr:rowOff>0</xdr:rowOff>
        </xdr:from>
        <xdr:to>
          <xdr:col>7</xdr:col>
          <xdr:colOff>200025</xdr:colOff>
          <xdr:row>16</xdr:row>
          <xdr:rowOff>104775</xdr:rowOff>
        </xdr:to>
        <xdr:sp macro="" textlink="">
          <xdr:nvSpPr>
            <xdr:cNvPr id="3079" name="Object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37</xdr:row>
          <xdr:rowOff>123825</xdr:rowOff>
        </xdr:from>
        <xdr:to>
          <xdr:col>6</xdr:col>
          <xdr:colOff>276225</xdr:colOff>
          <xdr:row>40</xdr:row>
          <xdr:rowOff>9525</xdr:rowOff>
        </xdr:to>
        <xdr:sp macro="" textlink="">
          <xdr:nvSpPr>
            <xdr:cNvPr id="3080" name="Object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30</xdr:row>
          <xdr:rowOff>85725</xdr:rowOff>
        </xdr:from>
        <xdr:to>
          <xdr:col>8</xdr:col>
          <xdr:colOff>752475</xdr:colOff>
          <xdr:row>34</xdr:row>
          <xdr:rowOff>85725</xdr:rowOff>
        </xdr:to>
        <xdr:sp macro="" textlink="">
          <xdr:nvSpPr>
            <xdr:cNvPr id="3081" name="Object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6.wmf"/><Relationship Id="rId18" Type="http://schemas.openxmlformats.org/officeDocument/2006/relationships/oleObject" Target="../embeddings/oleObject8.bin"/><Relationship Id="rId3" Type="http://schemas.openxmlformats.org/officeDocument/2006/relationships/vmlDrawing" Target="../drawings/vmlDrawing1.vml"/><Relationship Id="rId21" Type="http://schemas.openxmlformats.org/officeDocument/2006/relationships/image" Target="../media/image10.emf"/><Relationship Id="rId7" Type="http://schemas.openxmlformats.org/officeDocument/2006/relationships/image" Target="../media/image3.wmf"/><Relationship Id="rId12" Type="http://schemas.openxmlformats.org/officeDocument/2006/relationships/oleObject" Target="../embeddings/oleObject5.bin"/><Relationship Id="rId17" Type="http://schemas.openxmlformats.org/officeDocument/2006/relationships/image" Target="../media/image8.emf"/><Relationship Id="rId2" Type="http://schemas.openxmlformats.org/officeDocument/2006/relationships/drawing" Target="../drawings/drawing2.xml"/><Relationship Id="rId16" Type="http://schemas.openxmlformats.org/officeDocument/2006/relationships/oleObject" Target="../embeddings/oleObject7.bin"/><Relationship Id="rId20" Type="http://schemas.openxmlformats.org/officeDocument/2006/relationships/oleObject" Target="../embeddings/oleObject9.bin"/><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5.emf"/><Relationship Id="rId5" Type="http://schemas.openxmlformats.org/officeDocument/2006/relationships/image" Target="../media/image2.emf"/><Relationship Id="rId15" Type="http://schemas.openxmlformats.org/officeDocument/2006/relationships/image" Target="../media/image7.wmf"/><Relationship Id="rId10" Type="http://schemas.openxmlformats.org/officeDocument/2006/relationships/oleObject" Target="../embeddings/oleObject4.bin"/><Relationship Id="rId19" Type="http://schemas.openxmlformats.org/officeDocument/2006/relationships/image" Target="../media/image9.emf"/><Relationship Id="rId4" Type="http://schemas.openxmlformats.org/officeDocument/2006/relationships/oleObject" Target="../embeddings/oleObject1.bin"/><Relationship Id="rId9" Type="http://schemas.openxmlformats.org/officeDocument/2006/relationships/image" Target="../media/image4.wmf"/><Relationship Id="rId14" Type="http://schemas.openxmlformats.org/officeDocument/2006/relationships/oleObject" Target="../embeddings/oleObject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S126"/>
  <sheetViews>
    <sheetView showGridLines="0" tabSelected="1" zoomScaleNormal="100" workbookViewId="0">
      <selection activeCell="B6" sqref="B6:V6"/>
    </sheetView>
  </sheetViews>
  <sheetFormatPr baseColWidth="10" defaultColWidth="0" defaultRowHeight="12.75" zeroHeight="1" x14ac:dyDescent="0.2"/>
  <cols>
    <col min="1" max="1" width="2.5703125" style="14" customWidth="1"/>
    <col min="2" max="2" width="11.5703125" style="14" customWidth="1"/>
    <col min="3" max="3" width="14.5703125" style="14" customWidth="1"/>
    <col min="4" max="4" width="16.140625" style="14" customWidth="1"/>
    <col min="5" max="5" width="17.42578125" style="14" customWidth="1"/>
    <col min="6" max="6" width="12.5703125" style="14" hidden="1" customWidth="1"/>
    <col min="7" max="7" width="11.85546875" style="14" hidden="1" customWidth="1"/>
    <col min="8" max="9" width="14.42578125" style="15" hidden="1" customWidth="1"/>
    <col min="10" max="10" width="10.5703125" style="14" hidden="1" customWidth="1"/>
    <col min="11" max="11" width="12.85546875" style="14" customWidth="1"/>
    <col min="12" max="12" width="10.5703125" style="14" customWidth="1"/>
    <col min="13" max="15" width="10.5703125" style="14" hidden="1" customWidth="1"/>
    <col min="16" max="16" width="12.140625" style="14" hidden="1" customWidth="1"/>
    <col min="17" max="17" width="12.140625" style="14" customWidth="1"/>
    <col min="18" max="18" width="12.42578125" style="14" customWidth="1"/>
    <col min="19" max="19" width="11.42578125" style="15" hidden="1" customWidth="1"/>
    <col min="20" max="20" width="10" style="14" hidden="1" customWidth="1"/>
    <col min="21" max="21" width="14.28515625" style="14" customWidth="1"/>
    <col min="22" max="22" width="14.140625" style="66" customWidth="1"/>
    <col min="23" max="23" width="15.140625" style="14" customWidth="1"/>
    <col min="24" max="24" width="6" style="14" hidden="1" customWidth="1"/>
    <col min="25" max="25" width="7" style="14" hidden="1" customWidth="1"/>
    <col min="26" max="26" width="7.42578125" style="14" hidden="1" customWidth="1"/>
    <col min="27" max="27" width="11.42578125" style="14" hidden="1" customWidth="1"/>
    <col min="28" max="30" width="10.5703125" style="14" hidden="1" customWidth="1"/>
    <col min="31" max="31" width="4.42578125" style="16" hidden="1" customWidth="1"/>
    <col min="32" max="32" width="12.5703125" style="16" hidden="1" customWidth="1"/>
    <col min="33" max="35" width="11.42578125" style="14" hidden="1" customWidth="1"/>
    <col min="36" max="38" width="9.85546875" style="14" hidden="1" customWidth="1"/>
    <col min="39" max="39" width="11.42578125" style="14" hidden="1" customWidth="1"/>
    <col min="40" max="40" width="2.85546875" style="14" hidden="1" customWidth="1"/>
    <col min="41" max="42" width="9.85546875" style="14" hidden="1" customWidth="1"/>
    <col min="43" max="16384" width="10.85546875" style="14" hidden="1"/>
  </cols>
  <sheetData>
    <row r="1" spans="1:36" x14ac:dyDescent="0.2">
      <c r="A1" s="40"/>
      <c r="B1" s="40"/>
      <c r="C1" s="40"/>
      <c r="D1" s="40"/>
      <c r="E1" s="40"/>
      <c r="F1" s="40"/>
      <c r="G1" s="40"/>
      <c r="H1" s="46"/>
      <c r="I1" s="46"/>
      <c r="J1" s="40"/>
      <c r="K1" s="40"/>
      <c r="L1" s="40"/>
      <c r="M1" s="40"/>
      <c r="N1" s="40"/>
      <c r="O1" s="40"/>
      <c r="P1" s="40"/>
      <c r="Q1" s="40"/>
      <c r="R1" s="40"/>
      <c r="S1" s="46"/>
      <c r="T1" s="40"/>
      <c r="U1" s="40"/>
      <c r="V1" s="48"/>
      <c r="W1" s="40"/>
    </row>
    <row r="2" spans="1:36" x14ac:dyDescent="0.2">
      <c r="A2" s="40"/>
      <c r="B2" s="40"/>
      <c r="C2" s="40"/>
      <c r="D2" s="40"/>
      <c r="E2" s="40"/>
      <c r="F2" s="40"/>
      <c r="G2" s="40"/>
      <c r="H2" s="46"/>
      <c r="I2" s="46"/>
      <c r="J2" s="40"/>
      <c r="K2" s="40"/>
      <c r="L2" s="40"/>
      <c r="M2" s="40"/>
      <c r="N2" s="40"/>
      <c r="O2" s="40"/>
      <c r="P2" s="40"/>
      <c r="Q2" s="40"/>
      <c r="R2" s="40"/>
      <c r="S2" s="46"/>
      <c r="T2" s="40"/>
      <c r="U2" s="40"/>
      <c r="V2" s="48"/>
      <c r="W2" s="40"/>
    </row>
    <row r="3" spans="1:36" ht="13.5" thickBot="1" x14ac:dyDescent="0.25">
      <c r="A3" s="40"/>
      <c r="B3" s="40"/>
      <c r="C3" s="40"/>
      <c r="D3" s="40"/>
      <c r="E3" s="40"/>
      <c r="F3" s="40"/>
      <c r="G3" s="40"/>
      <c r="H3" s="46"/>
      <c r="I3" s="46"/>
      <c r="J3" s="40"/>
      <c r="K3" s="40"/>
      <c r="L3" s="40"/>
      <c r="M3" s="40"/>
      <c r="N3" s="40"/>
      <c r="O3" s="40"/>
      <c r="P3" s="40"/>
      <c r="Q3" s="40"/>
      <c r="R3" s="40"/>
      <c r="S3" s="46"/>
      <c r="T3" s="40"/>
      <c r="U3" s="40"/>
      <c r="V3" s="48"/>
      <c r="W3" s="40"/>
    </row>
    <row r="4" spans="1:36" ht="14.25" thickTop="1" thickBot="1" x14ac:dyDescent="0.25">
      <c r="A4" s="40"/>
      <c r="B4" s="40"/>
      <c r="C4" s="40"/>
      <c r="D4" s="40"/>
      <c r="E4" s="40"/>
      <c r="F4" s="40"/>
      <c r="G4" s="40"/>
      <c r="H4" s="46"/>
      <c r="I4" s="46"/>
      <c r="J4" s="40"/>
      <c r="K4" s="40"/>
      <c r="L4" s="40"/>
      <c r="M4" s="40"/>
      <c r="N4" s="40"/>
      <c r="O4" s="40"/>
      <c r="P4" s="40"/>
      <c r="Q4" s="40"/>
      <c r="R4" s="40"/>
      <c r="S4" s="46"/>
      <c r="T4" s="40"/>
      <c r="U4" s="40"/>
      <c r="V4" s="48"/>
      <c r="W4" s="40"/>
      <c r="Z4" s="14">
        <v>2</v>
      </c>
      <c r="AB4" s="14">
        <v>1</v>
      </c>
      <c r="AI4" s="137" t="s">
        <v>93</v>
      </c>
      <c r="AJ4" s="137" t="s">
        <v>94</v>
      </c>
    </row>
    <row r="5" spans="1:36" ht="14.25" thickTop="1" thickBot="1" x14ac:dyDescent="0.25">
      <c r="A5" s="40"/>
      <c r="B5" s="40"/>
      <c r="C5" s="40"/>
      <c r="D5" s="40"/>
      <c r="E5" s="40"/>
      <c r="F5" s="40"/>
      <c r="G5" s="40"/>
      <c r="H5" s="46"/>
      <c r="I5" s="46"/>
      <c r="J5" s="40"/>
      <c r="K5" s="40"/>
      <c r="L5" s="40"/>
      <c r="M5" s="40"/>
      <c r="N5" s="40"/>
      <c r="O5" s="40"/>
      <c r="P5" s="40"/>
      <c r="Q5" s="40"/>
      <c r="R5" s="40"/>
      <c r="S5" s="46"/>
      <c r="T5" s="40"/>
      <c r="U5" s="40"/>
      <c r="V5" s="48"/>
      <c r="W5" s="40"/>
      <c r="Z5" s="14">
        <v>7</v>
      </c>
      <c r="AB5" s="14">
        <v>2</v>
      </c>
      <c r="AI5" s="138">
        <v>37</v>
      </c>
      <c r="AJ5" s="138">
        <v>470</v>
      </c>
    </row>
    <row r="6" spans="1:36" ht="24.75" thickTop="1" thickBot="1" x14ac:dyDescent="0.4">
      <c r="A6" s="40"/>
      <c r="B6" s="144" t="s">
        <v>78</v>
      </c>
      <c r="C6" s="145"/>
      <c r="D6" s="145"/>
      <c r="E6" s="145"/>
      <c r="F6" s="145"/>
      <c r="G6" s="145"/>
      <c r="H6" s="145"/>
      <c r="I6" s="145"/>
      <c r="J6" s="145"/>
      <c r="K6" s="145"/>
      <c r="L6" s="145"/>
      <c r="M6" s="145"/>
      <c r="N6" s="145"/>
      <c r="O6" s="145"/>
      <c r="P6" s="145"/>
      <c r="Q6" s="145"/>
      <c r="R6" s="145"/>
      <c r="S6" s="145"/>
      <c r="T6" s="145"/>
      <c r="U6" s="145"/>
      <c r="V6" s="146"/>
      <c r="W6" s="40"/>
      <c r="Z6" s="14">
        <v>14</v>
      </c>
      <c r="AB6" s="14">
        <v>3</v>
      </c>
      <c r="AI6" s="138">
        <v>25</v>
      </c>
      <c r="AJ6" s="138">
        <v>498</v>
      </c>
    </row>
    <row r="7" spans="1:36" ht="14.25" thickTop="1" thickBot="1" x14ac:dyDescent="0.25">
      <c r="A7" s="40"/>
      <c r="B7" s="97"/>
      <c r="C7" s="40"/>
      <c r="D7" s="40"/>
      <c r="E7" s="40"/>
      <c r="F7" s="40"/>
      <c r="G7" s="40"/>
      <c r="H7" s="41"/>
      <c r="I7" s="41"/>
      <c r="J7" s="42"/>
      <c r="K7" s="42"/>
      <c r="L7" s="42"/>
      <c r="M7" s="42"/>
      <c r="N7" s="42"/>
      <c r="O7" s="42"/>
      <c r="P7" s="42"/>
      <c r="Q7" s="42"/>
      <c r="R7" s="42"/>
      <c r="S7" s="41"/>
      <c r="T7" s="40"/>
      <c r="U7" s="40"/>
      <c r="V7" s="98"/>
      <c r="W7" s="40"/>
      <c r="AB7" s="14">
        <v>4</v>
      </c>
      <c r="AI7" s="138"/>
      <c r="AJ7" s="138"/>
    </row>
    <row r="8" spans="1:36" ht="14.25" thickTop="1" thickBot="1" x14ac:dyDescent="0.25">
      <c r="A8" s="40"/>
      <c r="B8" s="155" t="s">
        <v>0</v>
      </c>
      <c r="C8" s="156"/>
      <c r="D8" s="156"/>
      <c r="E8" s="119" t="s">
        <v>42</v>
      </c>
      <c r="F8" s="40"/>
      <c r="G8" s="40"/>
      <c r="H8" s="41"/>
      <c r="I8" s="41"/>
      <c r="J8" s="42"/>
      <c r="K8" s="42"/>
      <c r="L8" s="42"/>
      <c r="M8" s="42"/>
      <c r="N8" s="42"/>
      <c r="O8" s="42"/>
      <c r="P8" s="42"/>
      <c r="Q8" s="42"/>
      <c r="R8" s="42"/>
      <c r="S8" s="41"/>
      <c r="T8" s="40"/>
      <c r="U8" s="40"/>
      <c r="V8" s="99">
        <f>E19+23</f>
        <v>44676</v>
      </c>
      <c r="W8" s="40"/>
      <c r="AB8" s="14">
        <v>5</v>
      </c>
      <c r="AI8" s="138"/>
      <c r="AJ8" s="138"/>
    </row>
    <row r="9" spans="1:36" ht="13.5" thickTop="1" x14ac:dyDescent="0.2">
      <c r="A9" s="40"/>
      <c r="B9" s="100" t="s">
        <v>71</v>
      </c>
      <c r="C9" s="101"/>
      <c r="D9" s="101"/>
      <c r="E9" s="120">
        <v>70000</v>
      </c>
      <c r="F9" s="40"/>
      <c r="G9" s="40"/>
      <c r="H9" s="41"/>
      <c r="I9" s="41"/>
      <c r="J9" s="42"/>
      <c r="K9" s="42"/>
      <c r="L9" s="42"/>
      <c r="M9" s="42"/>
      <c r="N9" s="42"/>
      <c r="O9" s="42"/>
      <c r="P9" s="42"/>
      <c r="Q9" s="42"/>
      <c r="R9" s="42"/>
      <c r="S9" s="41"/>
      <c r="T9" s="40"/>
      <c r="U9" s="40"/>
      <c r="V9" s="98"/>
      <c r="W9" s="40"/>
    </row>
    <row r="10" spans="1:36" ht="13.5" thickBot="1" x14ac:dyDescent="0.25">
      <c r="A10" s="40"/>
      <c r="B10" s="100" t="s">
        <v>72</v>
      </c>
      <c r="C10" s="101"/>
      <c r="D10" s="101"/>
      <c r="E10" s="120">
        <v>14000</v>
      </c>
      <c r="F10" s="53"/>
      <c r="G10" s="53"/>
      <c r="H10" s="41"/>
      <c r="I10" s="41"/>
      <c r="J10" s="42"/>
      <c r="K10" s="42"/>
      <c r="L10" s="42"/>
      <c r="M10" s="42"/>
      <c r="N10" s="42"/>
      <c r="O10" s="42"/>
      <c r="P10" s="42"/>
      <c r="Q10" s="42"/>
      <c r="R10" s="42"/>
      <c r="S10" s="41"/>
      <c r="T10" s="40"/>
      <c r="U10" s="40"/>
      <c r="V10" s="98"/>
      <c r="W10" s="40"/>
    </row>
    <row r="11" spans="1:36" ht="14.25" thickTop="1" thickBot="1" x14ac:dyDescent="0.25">
      <c r="A11" s="40"/>
      <c r="B11" s="140" t="s">
        <v>95</v>
      </c>
      <c r="C11" s="141"/>
      <c r="D11" s="142"/>
      <c r="E11" s="120">
        <f>+IF(E8="Soles",115*4,115)</f>
        <v>460</v>
      </c>
      <c r="F11" s="53"/>
      <c r="G11" s="53"/>
      <c r="H11" s="41"/>
      <c r="I11" s="41"/>
      <c r="J11" s="42"/>
      <c r="K11" s="42"/>
      <c r="L11" s="42"/>
      <c r="M11" s="42"/>
      <c r="N11" s="42"/>
      <c r="O11" s="42"/>
      <c r="P11" s="42"/>
      <c r="Q11" s="42"/>
      <c r="R11" s="42"/>
      <c r="S11" s="41"/>
      <c r="T11" s="40"/>
      <c r="U11" s="40"/>
      <c r="V11" s="98"/>
      <c r="W11" s="48"/>
      <c r="AI11" s="138"/>
      <c r="AJ11" s="138"/>
    </row>
    <row r="12" spans="1:36" ht="13.5" thickTop="1" x14ac:dyDescent="0.2">
      <c r="A12" s="40"/>
      <c r="B12" s="140" t="s">
        <v>96</v>
      </c>
      <c r="C12" s="159"/>
      <c r="D12" s="142"/>
      <c r="E12" s="120">
        <f>+IFERROR(IF(E8="Soles",80+11+E9*0.15%,E9*0.15%+(80+11)/4),"")</f>
        <v>196</v>
      </c>
      <c r="F12" s="53"/>
      <c r="G12" s="53"/>
      <c r="H12" s="41"/>
      <c r="I12" s="41"/>
      <c r="J12" s="42"/>
      <c r="K12" s="42"/>
      <c r="L12" s="42"/>
      <c r="M12" s="42"/>
      <c r="N12" s="42"/>
      <c r="O12" s="42"/>
      <c r="P12" s="42"/>
      <c r="Q12" s="42"/>
      <c r="R12" s="42"/>
      <c r="S12" s="41"/>
      <c r="T12" s="40"/>
      <c r="U12" s="40"/>
      <c r="V12" s="98"/>
      <c r="W12" s="48"/>
      <c r="AI12" s="139"/>
      <c r="AJ12" s="139"/>
    </row>
    <row r="13" spans="1:36" x14ac:dyDescent="0.2">
      <c r="A13" s="40"/>
      <c r="B13" s="100" t="s">
        <v>76</v>
      </c>
      <c r="C13" s="101"/>
      <c r="D13" s="101"/>
      <c r="E13" s="120">
        <f>+IFERROR(IF(E8="Soles",VLOOKUP(E26,$AI$4:$AJ$6,2,0)*4,VLOOKUP(E26,$AI$4:$AJ$6,2,0)),"")</f>
        <v>1880</v>
      </c>
      <c r="F13" s="53"/>
      <c r="G13" s="53"/>
      <c r="H13" s="41"/>
      <c r="I13" s="41"/>
      <c r="J13" s="42"/>
      <c r="K13" s="42"/>
      <c r="L13" s="42"/>
      <c r="M13" s="42"/>
      <c r="N13" s="42"/>
      <c r="O13" s="42"/>
      <c r="P13" s="42"/>
      <c r="Q13" s="42"/>
      <c r="R13" s="42"/>
      <c r="S13" s="41"/>
      <c r="T13" s="40"/>
      <c r="U13" s="48"/>
      <c r="V13" s="135"/>
      <c r="W13" s="48"/>
    </row>
    <row r="14" spans="1:36" x14ac:dyDescent="0.2">
      <c r="A14" s="40"/>
      <c r="B14" s="148" t="s">
        <v>77</v>
      </c>
      <c r="C14" s="149"/>
      <c r="D14" s="149"/>
      <c r="E14" s="121">
        <f>+E9-E10+E11+E12+E13</f>
        <v>58536</v>
      </c>
      <c r="F14" s="53"/>
      <c r="G14" s="54"/>
      <c r="H14" s="41"/>
      <c r="I14" s="41"/>
      <c r="J14" s="42"/>
      <c r="K14" s="42"/>
      <c r="L14" s="42"/>
      <c r="M14" s="42"/>
      <c r="N14" s="42"/>
      <c r="O14" s="42"/>
      <c r="P14" s="42"/>
      <c r="Q14" s="42"/>
      <c r="R14" s="42"/>
      <c r="S14" s="41"/>
      <c r="T14" s="40"/>
      <c r="U14" s="48">
        <f>IF(E8="Dólares",22000,66000)</f>
        <v>66000</v>
      </c>
      <c r="V14" s="99"/>
      <c r="W14" s="48"/>
      <c r="AB14" s="14">
        <v>6</v>
      </c>
    </row>
    <row r="15" spans="1:36" x14ac:dyDescent="0.2">
      <c r="A15" s="40"/>
      <c r="B15" s="100" t="s">
        <v>79</v>
      </c>
      <c r="C15" s="101"/>
      <c r="D15" s="101"/>
      <c r="E15" s="122">
        <f>+E9/2</f>
        <v>35000</v>
      </c>
      <c r="F15" s="53"/>
      <c r="G15" s="53"/>
      <c r="H15" s="41"/>
      <c r="I15" s="41"/>
      <c r="J15" s="42"/>
      <c r="K15" s="42"/>
      <c r="L15" s="42"/>
      <c r="M15" s="42"/>
      <c r="N15" s="42"/>
      <c r="O15" s="42"/>
      <c r="P15" s="42"/>
      <c r="Q15" s="42"/>
      <c r="R15" s="42"/>
      <c r="S15" s="41"/>
      <c r="T15" s="40"/>
      <c r="U15" s="48"/>
      <c r="V15" s="99"/>
      <c r="W15" s="48"/>
    </row>
    <row r="16" spans="1:36" ht="13.5" thickBot="1" x14ac:dyDescent="0.25">
      <c r="A16" s="40"/>
      <c r="B16" s="100" t="s">
        <v>89</v>
      </c>
      <c r="C16" s="101"/>
      <c r="D16" s="101"/>
      <c r="E16" s="121">
        <f>+E14-E15</f>
        <v>23536</v>
      </c>
      <c r="F16" s="53"/>
      <c r="G16" s="54"/>
      <c r="H16" s="41"/>
      <c r="I16" s="41"/>
      <c r="J16" s="42"/>
      <c r="K16" s="42"/>
      <c r="L16" s="42"/>
      <c r="M16" s="42"/>
      <c r="N16" s="42"/>
      <c r="O16" s="42"/>
      <c r="P16" s="42"/>
      <c r="Q16" s="42"/>
      <c r="R16" s="42"/>
      <c r="S16" s="41"/>
      <c r="T16" s="40"/>
      <c r="U16" s="48"/>
      <c r="V16" s="99"/>
      <c r="W16" s="48"/>
    </row>
    <row r="17" spans="1:36" ht="13.5" thickBot="1" x14ac:dyDescent="0.25">
      <c r="A17" s="40"/>
      <c r="B17" s="148" t="s">
        <v>47</v>
      </c>
      <c r="C17" s="149"/>
      <c r="D17" s="149"/>
      <c r="E17" s="122" t="s">
        <v>46</v>
      </c>
      <c r="F17" s="40"/>
      <c r="G17" s="40"/>
      <c r="H17" s="43"/>
      <c r="I17" s="43"/>
      <c r="J17" s="44"/>
      <c r="K17" s="55" t="s">
        <v>34</v>
      </c>
      <c r="L17" s="56">
        <f>E20</f>
        <v>2</v>
      </c>
      <c r="M17" s="44"/>
      <c r="N17" s="44"/>
      <c r="O17" s="44"/>
      <c r="P17" s="44"/>
      <c r="Q17" s="48"/>
      <c r="R17" s="48"/>
      <c r="S17" s="41"/>
      <c r="T17" s="40"/>
      <c r="U17" s="48"/>
      <c r="V17" s="99"/>
      <c r="W17" s="66"/>
      <c r="Y17" s="14">
        <v>1</v>
      </c>
      <c r="Z17" s="14">
        <v>1</v>
      </c>
      <c r="AB17" s="14">
        <v>7</v>
      </c>
    </row>
    <row r="18" spans="1:36" hidden="1" x14ac:dyDescent="0.2">
      <c r="A18" s="40"/>
      <c r="B18" s="97"/>
      <c r="C18" s="40"/>
      <c r="D18" s="40"/>
      <c r="E18" s="123"/>
      <c r="F18" s="53"/>
      <c r="G18" s="53"/>
      <c r="H18" s="40"/>
      <c r="I18" s="40"/>
      <c r="J18" s="44"/>
      <c r="K18" s="44"/>
      <c r="L18" s="44"/>
      <c r="M18" s="44"/>
      <c r="N18" s="44"/>
      <c r="O18" s="44"/>
      <c r="P18" s="41"/>
      <c r="Q18" s="41"/>
      <c r="R18" s="41"/>
      <c r="S18" s="41"/>
      <c r="T18" s="40"/>
      <c r="U18" s="48"/>
      <c r="V18" s="99" t="s">
        <v>45</v>
      </c>
      <c r="W18" s="102">
        <v>1.2700000000000001E-3</v>
      </c>
    </row>
    <row r="19" spans="1:36" x14ac:dyDescent="0.2">
      <c r="A19" s="40"/>
      <c r="B19" s="148" t="s">
        <v>2</v>
      </c>
      <c r="C19" s="149"/>
      <c r="D19" s="149"/>
      <c r="E19" s="124">
        <v>44653</v>
      </c>
      <c r="F19" s="53"/>
      <c r="G19" s="53"/>
      <c r="H19" s="41"/>
      <c r="I19" s="41"/>
      <c r="J19" s="42"/>
      <c r="K19" s="42"/>
      <c r="L19" s="42"/>
      <c r="M19" s="42"/>
      <c r="N19" s="42"/>
      <c r="O19" s="42"/>
      <c r="P19" s="42"/>
      <c r="Q19" s="42"/>
      <c r="R19" s="42"/>
      <c r="S19" s="41"/>
      <c r="T19" s="40"/>
      <c r="U19" s="48"/>
      <c r="V19" s="99" t="s">
        <v>84</v>
      </c>
      <c r="W19" s="103">
        <v>1.897E-3</v>
      </c>
      <c r="Y19" s="14">
        <f>Y17+1</f>
        <v>2</v>
      </c>
      <c r="Z19" s="14">
        <v>1</v>
      </c>
      <c r="AB19" s="14">
        <v>8</v>
      </c>
    </row>
    <row r="20" spans="1:36" x14ac:dyDescent="0.2">
      <c r="A20" s="40"/>
      <c r="B20" s="100" t="s">
        <v>70</v>
      </c>
      <c r="C20" s="101"/>
      <c r="D20" s="101"/>
      <c r="E20" s="125">
        <v>2</v>
      </c>
      <c r="F20" s="53"/>
      <c r="G20" s="53"/>
      <c r="H20" s="41"/>
      <c r="I20" s="41"/>
      <c r="J20" s="42"/>
      <c r="K20" s="42"/>
      <c r="L20" s="42"/>
      <c r="M20" s="42"/>
      <c r="N20" s="42"/>
      <c r="O20" s="42"/>
      <c r="P20" s="42"/>
      <c r="Q20" s="42"/>
      <c r="R20" s="42"/>
      <c r="S20" s="41"/>
      <c r="T20" s="40"/>
      <c r="U20" s="48"/>
      <c r="V20" s="99" t="s">
        <v>43</v>
      </c>
      <c r="W20" s="48">
        <v>0</v>
      </c>
    </row>
    <row r="21" spans="1:36" x14ac:dyDescent="0.2">
      <c r="A21" s="40"/>
      <c r="B21" s="148" t="s">
        <v>32</v>
      </c>
      <c r="C21" s="149"/>
      <c r="D21" s="149"/>
      <c r="E21" s="126">
        <v>0</v>
      </c>
      <c r="F21" s="40"/>
      <c r="G21" s="40"/>
      <c r="H21" s="41"/>
      <c r="I21" s="41"/>
      <c r="J21" s="42"/>
      <c r="K21" s="42"/>
      <c r="L21" s="42"/>
      <c r="M21" s="42"/>
      <c r="N21" s="42"/>
      <c r="O21" s="42"/>
      <c r="P21" s="42"/>
      <c r="Q21" s="42"/>
      <c r="R21" s="42"/>
      <c r="S21" s="41"/>
      <c r="T21" s="40"/>
      <c r="U21" s="48"/>
      <c r="V21" s="99"/>
      <c r="W21" s="66"/>
      <c r="Y21" s="14">
        <f>Y19+1</f>
        <v>3</v>
      </c>
      <c r="Z21" s="14">
        <v>1</v>
      </c>
      <c r="AB21" s="14">
        <v>9</v>
      </c>
    </row>
    <row r="22" spans="1:36" x14ac:dyDescent="0.2">
      <c r="A22" s="40"/>
      <c r="B22" s="148" t="s">
        <v>50</v>
      </c>
      <c r="C22" s="149"/>
      <c r="D22" s="149"/>
      <c r="E22" s="127" t="s">
        <v>33</v>
      </c>
      <c r="F22" s="40"/>
      <c r="G22" s="40"/>
      <c r="H22" s="40"/>
      <c r="I22" s="40"/>
      <c r="J22" s="40"/>
      <c r="K22" s="40"/>
      <c r="L22" s="40"/>
      <c r="M22" s="40"/>
      <c r="N22" s="40"/>
      <c r="O22" s="40"/>
      <c r="P22" s="40"/>
      <c r="Q22" s="40"/>
      <c r="R22" s="40"/>
      <c r="S22" s="41"/>
      <c r="T22" s="40"/>
      <c r="U22" s="48"/>
      <c r="V22" s="135"/>
      <c r="W22" s="48"/>
      <c r="Y22" s="14">
        <f t="shared" ref="Y22:Y30" si="0">Y21+1</f>
        <v>4</v>
      </c>
      <c r="Z22" s="14">
        <v>1</v>
      </c>
      <c r="AB22" s="14">
        <v>10</v>
      </c>
    </row>
    <row r="23" spans="1:36" x14ac:dyDescent="0.2">
      <c r="A23" s="40"/>
      <c r="B23" s="148" t="s">
        <v>53</v>
      </c>
      <c r="C23" s="149"/>
      <c r="D23" s="149"/>
      <c r="E23" s="128">
        <f>IF(DAY(V8)&gt;=E20,DATE(YEAR(V8),MONTH(V8)+1+E21,DAY(E20)),DATE(YEAR(V8),MONTH(V8)+E21,DAY(E20)))</f>
        <v>44683</v>
      </c>
      <c r="F23" s="31"/>
      <c r="G23" s="40"/>
      <c r="H23" s="40"/>
      <c r="I23" s="40"/>
      <c r="J23" s="40"/>
      <c r="K23" s="40"/>
      <c r="L23" s="40"/>
      <c r="M23" s="40"/>
      <c r="N23" s="40"/>
      <c r="O23" s="40"/>
      <c r="P23" s="40"/>
      <c r="Q23" s="40"/>
      <c r="R23" s="40"/>
      <c r="S23" s="41"/>
      <c r="T23" s="40"/>
      <c r="U23" s="48"/>
      <c r="V23" s="135"/>
      <c r="W23" s="48"/>
      <c r="Y23" s="14">
        <f t="shared" si="0"/>
        <v>5</v>
      </c>
      <c r="Z23" s="14">
        <v>1</v>
      </c>
      <c r="AB23" s="14">
        <v>11</v>
      </c>
    </row>
    <row r="24" spans="1:36" ht="27.75" customHeight="1" x14ac:dyDescent="0.2">
      <c r="A24" s="40"/>
      <c r="B24" s="157" t="s">
        <v>67</v>
      </c>
      <c r="C24" s="158"/>
      <c r="D24" s="158"/>
      <c r="E24" s="129">
        <v>0.1799</v>
      </c>
      <c r="F24" s="48"/>
      <c r="G24" s="64">
        <f>ROUND((1+E24)^(1/12) -1,8)</f>
        <v>1.3881269999999999E-2</v>
      </c>
      <c r="H24" s="52"/>
      <c r="I24" s="52"/>
      <c r="J24" s="42"/>
      <c r="K24" s="42"/>
      <c r="L24" s="42"/>
      <c r="M24" s="42"/>
      <c r="N24" s="42"/>
      <c r="O24" s="42"/>
      <c r="P24" s="42"/>
      <c r="Q24" s="42"/>
      <c r="R24" s="42"/>
      <c r="S24" s="41"/>
      <c r="T24" s="40"/>
      <c r="U24" s="48"/>
      <c r="V24" s="135"/>
      <c r="W24" s="48"/>
      <c r="Y24" s="14">
        <f t="shared" si="0"/>
        <v>6</v>
      </c>
      <c r="Z24" s="14">
        <v>1</v>
      </c>
      <c r="AB24" s="14">
        <v>12</v>
      </c>
    </row>
    <row r="25" spans="1:36" hidden="1" x14ac:dyDescent="0.2">
      <c r="A25" s="40"/>
      <c r="B25" s="148"/>
      <c r="C25" s="149"/>
      <c r="D25" s="149"/>
      <c r="E25" s="130"/>
      <c r="F25" s="69" t="s">
        <v>35</v>
      </c>
      <c r="G25" s="64">
        <f>(1+E32)^(1/30) -1</f>
        <v>4.2307369336302969E-5</v>
      </c>
      <c r="H25" s="46"/>
      <c r="I25" s="46"/>
      <c r="J25" s="42"/>
      <c r="K25" s="42"/>
      <c r="L25" s="42"/>
      <c r="M25" s="42"/>
      <c r="N25" s="42"/>
      <c r="O25" s="42"/>
      <c r="P25" s="42"/>
      <c r="Q25" s="42"/>
      <c r="R25" s="42"/>
      <c r="S25" s="41"/>
      <c r="T25" s="40"/>
      <c r="U25" s="48"/>
      <c r="V25" s="135"/>
      <c r="W25" s="48"/>
      <c r="Y25" s="14">
        <f t="shared" si="0"/>
        <v>7</v>
      </c>
      <c r="Z25" s="14">
        <f>IF($E$22="No",1,2)</f>
        <v>1</v>
      </c>
      <c r="AB25" s="14">
        <v>13</v>
      </c>
    </row>
    <row r="26" spans="1:36" x14ac:dyDescent="0.2">
      <c r="A26" s="40"/>
      <c r="B26" s="148" t="s">
        <v>60</v>
      </c>
      <c r="C26" s="149"/>
      <c r="D26" s="149"/>
      <c r="E26" s="127">
        <v>37</v>
      </c>
      <c r="F26" s="48">
        <f>+E26-1</f>
        <v>36</v>
      </c>
      <c r="G26" s="65">
        <f>ROUND((1+G24)^(1/30)*(1+G25) -1,8)</f>
        <v>5.0195999999999997E-4</v>
      </c>
      <c r="H26" s="46"/>
      <c r="I26" s="46"/>
      <c r="J26" s="42"/>
      <c r="K26" s="42"/>
      <c r="L26" s="42"/>
      <c r="M26" s="42"/>
      <c r="N26" s="42"/>
      <c r="O26" s="42"/>
      <c r="P26" s="42"/>
      <c r="Q26" s="42"/>
      <c r="R26" s="42"/>
      <c r="S26" s="41"/>
      <c r="T26" s="40"/>
      <c r="U26" s="48"/>
      <c r="V26" s="135"/>
      <c r="W26" s="48"/>
      <c r="Y26" s="14">
        <f t="shared" si="0"/>
        <v>8</v>
      </c>
      <c r="Z26" s="14">
        <v>1</v>
      </c>
      <c r="AB26" s="14">
        <v>14</v>
      </c>
    </row>
    <row r="27" spans="1:36" hidden="1" x14ac:dyDescent="0.2">
      <c r="A27" s="40"/>
      <c r="B27" s="148" t="s">
        <v>37</v>
      </c>
      <c r="C27" s="149"/>
      <c r="D27" s="149"/>
      <c r="E27" s="122">
        <f>-PMT(G24+E34,F26,E16)</f>
        <v>853.02753526124343</v>
      </c>
      <c r="F27" s="70"/>
      <c r="G27" s="48"/>
      <c r="H27" s="46"/>
      <c r="I27" s="46"/>
      <c r="J27" s="42"/>
      <c r="K27" s="42"/>
      <c r="L27" s="42"/>
      <c r="M27" s="42"/>
      <c r="N27" s="42"/>
      <c r="O27" s="42"/>
      <c r="P27" s="42"/>
      <c r="Q27" s="42"/>
      <c r="R27" s="42"/>
      <c r="S27" s="41"/>
      <c r="T27" s="40"/>
      <c r="U27" s="48"/>
      <c r="V27" s="135"/>
      <c r="W27" s="48"/>
      <c r="Y27" s="14">
        <f t="shared" si="0"/>
        <v>9</v>
      </c>
      <c r="Z27" s="14">
        <v>1</v>
      </c>
      <c r="AB27" s="14">
        <v>15</v>
      </c>
    </row>
    <row r="28" spans="1:36" x14ac:dyDescent="0.2">
      <c r="A28" s="40"/>
      <c r="B28" s="150" t="s">
        <v>68</v>
      </c>
      <c r="C28" s="151"/>
      <c r="D28" s="151"/>
      <c r="E28" s="122" t="s">
        <v>51</v>
      </c>
      <c r="F28" s="40"/>
      <c r="G28" s="67"/>
      <c r="H28" s="41"/>
      <c r="I28" s="41"/>
      <c r="J28" s="42"/>
      <c r="K28" s="42"/>
      <c r="L28" s="42"/>
      <c r="M28" s="42"/>
      <c r="N28" s="42"/>
      <c r="O28" s="42"/>
      <c r="P28" s="42"/>
      <c r="Q28" s="42"/>
      <c r="R28" s="42"/>
      <c r="S28" s="41"/>
      <c r="T28" s="40"/>
      <c r="U28" s="48"/>
      <c r="V28" s="135"/>
      <c r="W28" s="48"/>
      <c r="AB28" s="14">
        <v>16</v>
      </c>
    </row>
    <row r="29" spans="1:36" x14ac:dyDescent="0.2">
      <c r="A29" s="40"/>
      <c r="B29" s="148" t="s">
        <v>48</v>
      </c>
      <c r="C29" s="149"/>
      <c r="D29" s="149"/>
      <c r="E29" s="131">
        <f>IF(E28="Físico",VLOOKUP(E8,Y37:Z39,2,0),0)</f>
        <v>10</v>
      </c>
      <c r="F29" s="40"/>
      <c r="G29" s="40"/>
      <c r="H29" s="46"/>
      <c r="I29" s="46"/>
      <c r="J29" s="40"/>
      <c r="K29" s="40"/>
      <c r="L29" s="40"/>
      <c r="M29" s="40"/>
      <c r="N29" s="40"/>
      <c r="O29" s="40"/>
      <c r="P29" s="40"/>
      <c r="Q29" s="40"/>
      <c r="R29" s="40"/>
      <c r="S29" s="46"/>
      <c r="T29" s="40"/>
      <c r="U29" s="48">
        <v>389.48</v>
      </c>
      <c r="V29" s="135"/>
      <c r="W29" s="48"/>
      <c r="Y29" s="14">
        <f>Y27+1</f>
        <v>10</v>
      </c>
      <c r="Z29" s="14">
        <v>1</v>
      </c>
      <c r="AB29" s="14">
        <v>17</v>
      </c>
    </row>
    <row r="30" spans="1:36" hidden="1" x14ac:dyDescent="0.2">
      <c r="A30" s="40"/>
      <c r="B30" s="148" t="s">
        <v>25</v>
      </c>
      <c r="C30" s="149"/>
      <c r="D30" s="149"/>
      <c r="E30" s="122">
        <f>E27+E29</f>
        <v>863.02753526124343</v>
      </c>
      <c r="F30" s="40"/>
      <c r="G30" s="40"/>
      <c r="H30" s="46"/>
      <c r="I30" s="46"/>
      <c r="J30" s="34"/>
      <c r="K30" s="34"/>
      <c r="L30" s="34"/>
      <c r="M30" s="40"/>
      <c r="N30" s="40"/>
      <c r="O30" s="40"/>
      <c r="P30" s="40"/>
      <c r="Q30" s="40"/>
      <c r="R30" s="40"/>
      <c r="S30" s="46"/>
      <c r="T30" s="40"/>
      <c r="U30" s="48"/>
      <c r="V30" s="135"/>
      <c r="W30" s="48"/>
      <c r="Y30" s="14">
        <f t="shared" si="0"/>
        <v>11</v>
      </c>
      <c r="Z30" s="14">
        <v>1</v>
      </c>
      <c r="AB30" s="14">
        <v>18</v>
      </c>
    </row>
    <row r="31" spans="1:36" x14ac:dyDescent="0.2">
      <c r="A31" s="40"/>
      <c r="B31" s="100" t="s">
        <v>44</v>
      </c>
      <c r="C31" s="101"/>
      <c r="D31" s="101"/>
      <c r="E31" s="132" t="s">
        <v>45</v>
      </c>
      <c r="F31" s="40"/>
      <c r="G31" s="40"/>
      <c r="H31" s="46"/>
      <c r="I31" s="71">
        <f>-PMT(G24,36,E16)</f>
        <v>835.11649254498934</v>
      </c>
      <c r="J31" s="48"/>
      <c r="K31" s="48"/>
      <c r="L31" s="48"/>
      <c r="M31" s="48"/>
      <c r="N31" s="48"/>
      <c r="O31" s="48"/>
      <c r="P31" s="48"/>
      <c r="Q31" s="48"/>
      <c r="R31" s="40"/>
      <c r="S31" s="46"/>
      <c r="T31" s="40"/>
      <c r="U31" s="40"/>
      <c r="V31" s="135"/>
      <c r="W31" s="48"/>
      <c r="AJ31" s="14">
        <f>$E$33*$E$9</f>
        <v>2870</v>
      </c>
    </row>
    <row r="32" spans="1:36" ht="12.6" customHeight="1" x14ac:dyDescent="0.2">
      <c r="A32" s="40"/>
      <c r="B32" s="100" t="s">
        <v>69</v>
      </c>
      <c r="C32" s="101"/>
      <c r="D32" s="101"/>
      <c r="E32" s="133">
        <f>+IF(E31="Endosado",0,0.127%)</f>
        <v>1.2700000000000001E-3</v>
      </c>
      <c r="F32" s="40"/>
      <c r="G32" s="40"/>
      <c r="H32" s="46"/>
      <c r="I32" s="49">
        <f>+(1+E24)^(1/12)-1</f>
        <v>1.3881269841250932E-2</v>
      </c>
      <c r="J32" s="48"/>
      <c r="K32" s="48"/>
      <c r="L32" s="48"/>
      <c r="M32" s="48"/>
      <c r="N32" s="48"/>
      <c r="O32" s="48"/>
      <c r="P32" s="48"/>
      <c r="Q32" s="48"/>
      <c r="R32" s="40"/>
      <c r="S32" s="46"/>
      <c r="T32" s="40"/>
      <c r="U32" s="40"/>
      <c r="V32" s="98"/>
      <c r="W32" s="48"/>
      <c r="AB32" s="14">
        <v>19</v>
      </c>
      <c r="AJ32" s="21">
        <f>AJ31/12</f>
        <v>239.16666666666666</v>
      </c>
    </row>
    <row r="33" spans="1:45" ht="12.6" customHeight="1" x14ac:dyDescent="0.2">
      <c r="A33" s="40"/>
      <c r="B33" s="100" t="s">
        <v>74</v>
      </c>
      <c r="C33" s="101"/>
      <c r="D33" s="101"/>
      <c r="E33" s="134">
        <v>4.1000000000000002E-2</v>
      </c>
      <c r="F33" s="40"/>
      <c r="G33" s="40"/>
      <c r="H33" s="46"/>
      <c r="I33" s="72">
        <f>+I32+E34</f>
        <v>1.5151269841250932E-2</v>
      </c>
      <c r="J33" s="48"/>
      <c r="K33" s="48"/>
      <c r="L33" s="48"/>
      <c r="M33" s="48"/>
      <c r="N33" s="48"/>
      <c r="O33" s="48"/>
      <c r="P33" s="48"/>
      <c r="Q33" s="48"/>
      <c r="R33" s="40"/>
      <c r="S33" s="46"/>
      <c r="T33" s="40"/>
      <c r="U33" s="40"/>
      <c r="V33" s="98"/>
      <c r="W33" s="48"/>
    </row>
    <row r="34" spans="1:45" hidden="1" x14ac:dyDescent="0.2">
      <c r="A34" s="40"/>
      <c r="B34" s="100" t="s">
        <v>13</v>
      </c>
      <c r="C34" s="101"/>
      <c r="D34" s="104"/>
      <c r="E34" s="136">
        <f>+VLOOKUP(E31,$V$18:$W$20,2,0)</f>
        <v>1.2700000000000001E-3</v>
      </c>
      <c r="F34" s="45" t="s">
        <v>35</v>
      </c>
      <c r="G34" s="40"/>
      <c r="H34" s="46"/>
      <c r="I34" s="73">
        <f>-PMT(I33,36,E16)</f>
        <v>853.0275330088399</v>
      </c>
      <c r="J34" s="48"/>
      <c r="K34" s="48"/>
      <c r="L34" s="48"/>
      <c r="M34" s="48"/>
      <c r="N34" s="48"/>
      <c r="O34" s="48"/>
      <c r="P34" s="48"/>
      <c r="Q34" s="48"/>
      <c r="R34" s="40"/>
      <c r="S34" s="46"/>
      <c r="T34" s="40"/>
      <c r="U34" s="40"/>
      <c r="V34" s="98"/>
      <c r="W34" s="48"/>
      <c r="Y34" s="14">
        <f>Y30+1</f>
        <v>12</v>
      </c>
      <c r="Z34" s="14">
        <f>IF($E$22="No",1,2)</f>
        <v>1</v>
      </c>
      <c r="AB34" s="14">
        <v>20</v>
      </c>
    </row>
    <row r="35" spans="1:45" ht="13.5" hidden="1" thickBot="1" x14ac:dyDescent="0.25">
      <c r="A35" s="40"/>
      <c r="B35" s="105" t="s">
        <v>14</v>
      </c>
      <c r="C35" s="106"/>
      <c r="D35" s="107"/>
      <c r="E35" s="108"/>
      <c r="F35" s="45" t="s">
        <v>36</v>
      </c>
      <c r="G35" s="40"/>
      <c r="H35" s="46"/>
      <c r="I35" s="49"/>
      <c r="J35" s="48"/>
      <c r="K35" s="48"/>
      <c r="L35" s="48"/>
      <c r="M35" s="48"/>
      <c r="N35" s="48"/>
      <c r="O35" s="48"/>
      <c r="P35" s="48"/>
      <c r="Q35" s="48"/>
      <c r="R35" s="40"/>
      <c r="S35" s="46"/>
      <c r="T35" s="40"/>
      <c r="U35" s="40"/>
      <c r="V35" s="98"/>
      <c r="W35" s="48"/>
      <c r="AB35" s="14">
        <v>21</v>
      </c>
      <c r="AJ35" s="14">
        <f>ROUND($E$33*$E$9/12,2)</f>
        <v>239.17</v>
      </c>
    </row>
    <row r="36" spans="1:45" ht="13.5" thickBot="1" x14ac:dyDescent="0.25">
      <c r="A36" s="40"/>
      <c r="B36" s="97"/>
      <c r="C36" s="40"/>
      <c r="D36" s="40"/>
      <c r="E36" s="109"/>
      <c r="F36" s="40"/>
      <c r="G36" s="40"/>
      <c r="H36" s="46"/>
      <c r="I36" s="49"/>
      <c r="J36" s="48"/>
      <c r="K36" s="48"/>
      <c r="L36" s="48"/>
      <c r="M36" s="48"/>
      <c r="N36" s="74">
        <f>+SUM(I43:I78)</f>
        <v>23536.000000000669</v>
      </c>
      <c r="O36" s="74">
        <f>+SUM(M43:M78)</f>
        <v>6571.741412980401</v>
      </c>
      <c r="P36" s="74">
        <f>+SUM(O43:O78)</f>
        <v>601.24985642369199</v>
      </c>
      <c r="Q36" s="74"/>
      <c r="R36" s="40"/>
      <c r="S36" s="46"/>
      <c r="T36" s="40"/>
      <c r="U36" s="40"/>
      <c r="V36" s="98"/>
      <c r="W36" s="48"/>
      <c r="AB36" s="14">
        <v>22</v>
      </c>
    </row>
    <row r="37" spans="1:45" ht="13.5" thickBot="1" x14ac:dyDescent="0.25">
      <c r="A37" s="40"/>
      <c r="B37" s="152" t="s">
        <v>66</v>
      </c>
      <c r="C37" s="153"/>
      <c r="D37" s="154"/>
      <c r="E37" s="39">
        <f>(1+F37)^12-1</f>
        <v>0.27137698692407985</v>
      </c>
      <c r="F37" s="47">
        <f>IRR(V42:V90,10%)</f>
        <v>2.0209888905805329E-2</v>
      </c>
      <c r="G37" s="48"/>
      <c r="H37" s="49"/>
      <c r="I37" s="49"/>
      <c r="J37" s="49"/>
      <c r="K37" s="49"/>
      <c r="L37" s="49"/>
      <c r="M37" s="49"/>
      <c r="N37" s="49"/>
      <c r="O37" s="49"/>
      <c r="P37" s="50">
        <f>732.34*36</f>
        <v>26364.240000000002</v>
      </c>
      <c r="Q37" s="50"/>
      <c r="R37" s="40"/>
      <c r="S37" s="46"/>
      <c r="T37" s="40"/>
      <c r="U37" s="40"/>
      <c r="V37" s="98"/>
      <c r="W37" s="48"/>
      <c r="X37" s="14" t="s">
        <v>51</v>
      </c>
      <c r="Y37" s="14" t="s">
        <v>41</v>
      </c>
      <c r="Z37" s="51">
        <v>2.5</v>
      </c>
      <c r="AB37" s="14">
        <v>23</v>
      </c>
    </row>
    <row r="38" spans="1:45" x14ac:dyDescent="0.2">
      <c r="A38" s="40"/>
      <c r="B38" s="110"/>
      <c r="C38" s="46"/>
      <c r="D38" s="46"/>
      <c r="E38" s="46"/>
      <c r="F38" s="46"/>
      <c r="G38" s="46"/>
      <c r="H38" s="46"/>
      <c r="I38" s="49"/>
      <c r="J38" s="49"/>
      <c r="K38" s="49"/>
      <c r="L38" s="49"/>
      <c r="M38" s="49"/>
      <c r="N38" s="49"/>
      <c r="O38" s="49"/>
      <c r="P38" s="49"/>
      <c r="Q38" s="49"/>
      <c r="R38" s="46"/>
      <c r="S38" s="46"/>
      <c r="T38" s="40"/>
      <c r="U38" s="40"/>
      <c r="V38" s="98"/>
      <c r="W38" s="48"/>
      <c r="X38" s="14" t="s">
        <v>52</v>
      </c>
      <c r="Y38" s="14" t="s">
        <v>42</v>
      </c>
      <c r="Z38" s="51">
        <f>+Z37*4</f>
        <v>10</v>
      </c>
      <c r="AB38" s="14">
        <v>24</v>
      </c>
    </row>
    <row r="39" spans="1:45" ht="13.5" thickBot="1" x14ac:dyDescent="0.25">
      <c r="A39" s="40"/>
      <c r="B39" s="110"/>
      <c r="C39" s="46"/>
      <c r="D39" s="46"/>
      <c r="E39" s="46"/>
      <c r="F39" s="46"/>
      <c r="G39" s="46"/>
      <c r="H39" s="46"/>
      <c r="I39" s="46"/>
      <c r="J39" s="46"/>
      <c r="K39" s="46"/>
      <c r="L39" s="46"/>
      <c r="M39" s="46"/>
      <c r="N39" s="46"/>
      <c r="O39" s="46"/>
      <c r="P39" s="46"/>
      <c r="Q39" s="46"/>
      <c r="R39" s="46"/>
      <c r="S39" s="46"/>
      <c r="T39" s="46"/>
      <c r="U39" s="40"/>
      <c r="V39" s="98"/>
      <c r="W39" s="48"/>
      <c r="Y39" s="14" t="s">
        <v>33</v>
      </c>
      <c r="Z39" s="14">
        <v>0</v>
      </c>
      <c r="AB39" s="14">
        <v>25</v>
      </c>
    </row>
    <row r="40" spans="1:45" s="18" customFormat="1" ht="45" customHeight="1" thickBot="1" x14ac:dyDescent="0.25">
      <c r="A40" s="111"/>
      <c r="B40" s="90" t="s">
        <v>57</v>
      </c>
      <c r="C40" s="91" t="s">
        <v>1</v>
      </c>
      <c r="D40" s="92" t="s">
        <v>82</v>
      </c>
      <c r="E40" s="93" t="s">
        <v>90</v>
      </c>
      <c r="F40" s="92" t="s">
        <v>81</v>
      </c>
      <c r="G40" s="94" t="s">
        <v>79</v>
      </c>
      <c r="H40" s="93" t="s">
        <v>80</v>
      </c>
      <c r="I40" s="94" t="s">
        <v>85</v>
      </c>
      <c r="J40" s="94" t="s">
        <v>86</v>
      </c>
      <c r="K40" s="94" t="s">
        <v>56</v>
      </c>
      <c r="L40" s="94" t="s">
        <v>55</v>
      </c>
      <c r="M40" s="91" t="s">
        <v>91</v>
      </c>
      <c r="N40" s="94" t="s">
        <v>83</v>
      </c>
      <c r="O40" s="91" t="s">
        <v>87</v>
      </c>
      <c r="P40" s="91" t="s">
        <v>88</v>
      </c>
      <c r="Q40" s="91" t="s">
        <v>54</v>
      </c>
      <c r="R40" s="91" t="s">
        <v>73</v>
      </c>
      <c r="S40" s="95"/>
      <c r="T40" s="91" t="s">
        <v>58</v>
      </c>
      <c r="U40" s="94" t="s">
        <v>48</v>
      </c>
      <c r="V40" s="96" t="s">
        <v>59</v>
      </c>
      <c r="W40" s="112"/>
      <c r="AG40" s="14"/>
      <c r="AH40" s="143" t="s">
        <v>26</v>
      </c>
      <c r="AI40" s="143"/>
      <c r="AJ40" s="68"/>
      <c r="AK40" s="57" t="s">
        <v>75</v>
      </c>
      <c r="AR40" s="18" t="s">
        <v>39</v>
      </c>
      <c r="AS40" s="18" t="s">
        <v>40</v>
      </c>
    </row>
    <row r="41" spans="1:45" s="19" customFormat="1" ht="13.35" hidden="1" customHeight="1" x14ac:dyDescent="0.2">
      <c r="A41" s="113"/>
      <c r="B41" s="28"/>
      <c r="C41" s="29"/>
      <c r="D41" s="58"/>
      <c r="E41" s="81"/>
      <c r="F41" s="82" t="s">
        <v>38</v>
      </c>
      <c r="G41" s="83"/>
      <c r="H41" s="81"/>
      <c r="I41" s="84">
        <f t="shared" ref="I41:M41" si="1">SUM(I43:I114)</f>
        <v>23536.000000000669</v>
      </c>
      <c r="J41" s="84"/>
      <c r="K41" s="84"/>
      <c r="L41" s="84"/>
      <c r="M41" s="85">
        <f t="shared" si="1"/>
        <v>6571.7414129800736</v>
      </c>
      <c r="N41" s="85"/>
      <c r="O41" s="85">
        <f>SUM(O43:O114)</f>
        <v>601.24985642369199</v>
      </c>
      <c r="P41" s="86"/>
      <c r="Q41" s="86"/>
      <c r="R41" s="86">
        <f>SUM(R43:R114)</f>
        <v>8849.2900000000009</v>
      </c>
      <c r="S41" s="87"/>
      <c r="T41" s="88">
        <f>SUM(T43:T114)</f>
        <v>30708.991269404389</v>
      </c>
      <c r="U41" s="87">
        <f>SUM(U43:U114)</f>
        <v>370</v>
      </c>
      <c r="V41" s="89">
        <f>SUM(V43:V114)</f>
        <v>94549.171269380371</v>
      </c>
      <c r="W41" s="114"/>
      <c r="AG41" s="14"/>
    </row>
    <row r="42" spans="1:45" hidden="1" x14ac:dyDescent="0.2">
      <c r="A42" s="40"/>
      <c r="B42" s="30">
        <v>0</v>
      </c>
      <c r="C42" s="31">
        <f>+E19</f>
        <v>44653</v>
      </c>
      <c r="D42" s="32">
        <f>+F42+G42</f>
        <v>58536</v>
      </c>
      <c r="E42" s="33">
        <f>+D42-SUM(I42:J42)</f>
        <v>58536</v>
      </c>
      <c r="F42" s="32">
        <f>E16</f>
        <v>23536</v>
      </c>
      <c r="G42" s="34">
        <f t="shared" ref="G42:G73" si="2">IF(B42&lt;=$E$26,$E$15,0)</f>
        <v>35000</v>
      </c>
      <c r="H42" s="33">
        <f t="shared" ref="H42:H73" si="3">+F42-I42</f>
        <v>23536</v>
      </c>
      <c r="I42" s="34"/>
      <c r="J42" s="34"/>
      <c r="K42" s="34"/>
      <c r="L42" s="34"/>
      <c r="M42" s="34"/>
      <c r="N42" s="34"/>
      <c r="O42" s="34"/>
      <c r="P42" s="34"/>
      <c r="Q42" s="34"/>
      <c r="R42" s="34"/>
      <c r="S42" s="34"/>
      <c r="T42" s="35"/>
      <c r="U42" s="34"/>
      <c r="V42" s="75">
        <f>-(D42-O42)</f>
        <v>-58536</v>
      </c>
      <c r="W42" s="48"/>
      <c r="X42" s="20">
        <f>IF(B42&lt;=$E$26,1/(1+$E$25)^((C42-$C$42)/360),0)</f>
        <v>1</v>
      </c>
      <c r="Y42" s="21"/>
      <c r="Z42" s="22">
        <f>C42-$C$42</f>
        <v>0</v>
      </c>
      <c r="AE42" s="14"/>
      <c r="AF42" s="14"/>
      <c r="AH42" s="16"/>
      <c r="AI42" s="16"/>
      <c r="AJ42" s="16"/>
      <c r="AM42" s="23">
        <f>E19</f>
        <v>44653</v>
      </c>
      <c r="AN42" s="23">
        <f>AM42</f>
        <v>44653</v>
      </c>
      <c r="AO42" s="23">
        <f>AN42</f>
        <v>44653</v>
      </c>
      <c r="AQ42" s="16">
        <v>0</v>
      </c>
      <c r="AR42" s="23">
        <f>C42</f>
        <v>44653</v>
      </c>
      <c r="AS42" s="23">
        <f>C42</f>
        <v>44653</v>
      </c>
    </row>
    <row r="43" spans="1:45" x14ac:dyDescent="0.2">
      <c r="A43" s="40"/>
      <c r="B43" s="30">
        <v>1</v>
      </c>
      <c r="C43" s="31">
        <f>$E$23</f>
        <v>44683</v>
      </c>
      <c r="D43" s="32">
        <f t="shared" ref="D43:D106" si="4">+F43+G43</f>
        <v>58536</v>
      </c>
      <c r="E43" s="33">
        <f t="shared" ref="E43:E106" si="5">+D43-SUM(I43:J43)</f>
        <v>58039.572755458736</v>
      </c>
      <c r="F43" s="32">
        <f t="shared" ref="F43:F74" si="6">+H42</f>
        <v>23536</v>
      </c>
      <c r="G43" s="34">
        <f t="shared" si="2"/>
        <v>35000</v>
      </c>
      <c r="H43" s="33">
        <f t="shared" si="3"/>
        <v>23039.572755458732</v>
      </c>
      <c r="I43" s="34">
        <f t="shared" ref="I43:I74" si="7">+IF(B43&lt;=$F$26,$E$27-M43-O43,0)</f>
        <v>496.4272445412671</v>
      </c>
      <c r="J43" s="34">
        <f t="shared" ref="J43:J74" si="8">+IF(B43=$E$26,G43,0)</f>
        <v>0</v>
      </c>
      <c r="K43" s="34">
        <f>+SUM(I43:J43)</f>
        <v>496.4272445412671</v>
      </c>
      <c r="L43" s="34">
        <f>+SUM(M43:N43)</f>
        <v>812.54957072000002</v>
      </c>
      <c r="M43" s="34">
        <f>IF($E$27*Y43-O43&lt;AB43,$E$27*Y43-O43,AB43)</f>
        <v>326.70957071999999</v>
      </c>
      <c r="N43" s="34">
        <f>ROUND(AD43,2)</f>
        <v>485.84</v>
      </c>
      <c r="O43" s="34">
        <f>+AH43</f>
        <v>29.890719999976326</v>
      </c>
      <c r="P43" s="34">
        <f>ROUND(AI43,2)</f>
        <v>44.45</v>
      </c>
      <c r="Q43" s="34">
        <f>+SUM(O43:P43)</f>
        <v>74.340719999976329</v>
      </c>
      <c r="R43" s="34">
        <f>ROUND(AK43,2)</f>
        <v>239.17</v>
      </c>
      <c r="S43" s="34"/>
      <c r="T43" s="36">
        <f>+M43+I43+O43</f>
        <v>853.02753526124343</v>
      </c>
      <c r="U43" s="34">
        <f t="shared" ref="U43:U74" si="9">+IF(B43&lt;=$E$26,$E$29,0)</f>
        <v>10</v>
      </c>
      <c r="V43" s="75">
        <f t="shared" ref="V43:V78" si="10">+IF(B43&lt;=$F$26,$E$27+N43+P43+R43+U43,SUM(J43:R43)+U43)</f>
        <v>1632.4875352612435</v>
      </c>
      <c r="W43" s="48"/>
      <c r="X43" s="20">
        <f t="shared" ref="X43:X79" si="11">IF(B43&lt;=$F$26,ROUND((1+$G$26)^(-Z43),8),0)</f>
        <v>0.98505774000000002</v>
      </c>
      <c r="Y43" s="63">
        <f t="shared" ref="Y43:Y74" si="12">VLOOKUP(MONTH(C43),$Y$17:$Z$34,2,0)</f>
        <v>1</v>
      </c>
      <c r="Z43" s="22">
        <v>30</v>
      </c>
      <c r="AB43" s="25">
        <f>F43*$G$24</f>
        <v>326.70957071999999</v>
      </c>
      <c r="AC43" s="26">
        <f>ROUND(AB43-M43,2)</f>
        <v>0</v>
      </c>
      <c r="AD43" s="26">
        <f t="shared" ref="AD43:AD74" si="13">G43*((1+$E$24)^((C43-C42)/360)-1)+AC42*((1+$E$24)^((C43-C42)/360)-0)</f>
        <v>485.84444444378261</v>
      </c>
      <c r="AE43" s="26"/>
      <c r="AF43" s="14"/>
      <c r="AH43" s="27">
        <f t="shared" ref="AH43:AH74" si="14">IF(B43&lt;=$F$26,F43*((1+$G$25)^(Z43-Z42) -1),0)</f>
        <v>29.890719999976326</v>
      </c>
      <c r="AI43" s="27">
        <f t="shared" ref="AI43:AI74" si="15">ROUND(IF(B43&lt;=$E$26,G43*((1+$G$25)^(Z43-Z42) -1),0),2)</f>
        <v>44.45</v>
      </c>
      <c r="AJ43" s="27"/>
      <c r="AK43" s="63">
        <f t="shared" ref="AK43:AK74" si="16">IF(B43&lt;=$E$26,ROUND($E$33*$E$9/12,8),0)</f>
        <v>239.16666667000001</v>
      </c>
      <c r="AM43" s="23">
        <f>E23</f>
        <v>44683</v>
      </c>
      <c r="AN43" s="23">
        <f>AM43</f>
        <v>44683</v>
      </c>
      <c r="AO43" s="23">
        <f>AN43</f>
        <v>44683</v>
      </c>
      <c r="AQ43" s="16">
        <v>1</v>
      </c>
      <c r="AR43" s="23">
        <f>C43</f>
        <v>44683</v>
      </c>
      <c r="AS43" s="23">
        <f>C43</f>
        <v>44683</v>
      </c>
    </row>
    <row r="44" spans="1:45" x14ac:dyDescent="0.2">
      <c r="A44" s="40"/>
      <c r="B44" s="30">
        <v>2</v>
      </c>
      <c r="C44" s="31">
        <f t="shared" ref="C44:C75" si="17">IF($E$17="Año Base 360",AS44,AR44)</f>
        <v>44714</v>
      </c>
      <c r="D44" s="32">
        <f t="shared" si="4"/>
        <v>58039.572755458736</v>
      </c>
      <c r="E44" s="33">
        <f t="shared" si="5"/>
        <v>57535.624007700069</v>
      </c>
      <c r="F44" s="32">
        <f t="shared" si="6"/>
        <v>23039.572755458732</v>
      </c>
      <c r="G44" s="34">
        <f t="shared" si="2"/>
        <v>35000</v>
      </c>
      <c r="H44" s="33">
        <f t="shared" si="3"/>
        <v>22535.624007700066</v>
      </c>
      <c r="I44" s="34">
        <f t="shared" si="7"/>
        <v>503.94874775866742</v>
      </c>
      <c r="J44" s="34">
        <f t="shared" si="8"/>
        <v>0</v>
      </c>
      <c r="K44" s="34">
        <f t="shared" ref="K44:K107" si="18">+SUM(I44:J44)</f>
        <v>503.94874775866742</v>
      </c>
      <c r="L44" s="34">
        <f t="shared" ref="L44:L107" si="19">+SUM(M44:N44)</f>
        <v>805.66297454694927</v>
      </c>
      <c r="M44" s="34">
        <f t="shared" ref="M44:M107" si="20">IF($E$27*Y44-O44&lt;AB44,$E$27*Y44-O44,AB44)</f>
        <v>319.81853010316661</v>
      </c>
      <c r="N44" s="34">
        <f t="shared" ref="N44:N107" si="21">G44*((1+$E$24)^((1)/12)-1)</f>
        <v>485.84444444378261</v>
      </c>
      <c r="O44" s="34">
        <f t="shared" ref="O44:O107" si="22">+AH44</f>
        <v>29.260257399409415</v>
      </c>
      <c r="P44" s="34">
        <f t="shared" ref="P44:P107" si="23">ROUND(AI44,2)</f>
        <v>44.45</v>
      </c>
      <c r="Q44" s="34">
        <f t="shared" ref="Q44:Q107" si="24">+SUM(O44:P44)</f>
        <v>73.710257399409414</v>
      </c>
      <c r="R44" s="34">
        <f t="shared" ref="R44:R107" si="25">ROUND(AK44,2)</f>
        <v>239.17</v>
      </c>
      <c r="S44" s="34"/>
      <c r="T44" s="36">
        <f t="shared" ref="T44:T107" si="26">+M44+I44+O44</f>
        <v>853.02753526124343</v>
      </c>
      <c r="U44" s="34">
        <f t="shared" si="9"/>
        <v>10</v>
      </c>
      <c r="V44" s="75">
        <f t="shared" si="10"/>
        <v>1632.4919797050261</v>
      </c>
      <c r="W44" s="48"/>
      <c r="X44" s="20">
        <f t="shared" si="11"/>
        <v>0.97033875000000003</v>
      </c>
      <c r="Y44" s="24">
        <f t="shared" si="12"/>
        <v>1</v>
      </c>
      <c r="Z44" s="22">
        <f>+Z43+30</f>
        <v>60</v>
      </c>
      <c r="AB44" s="25">
        <f t="shared" ref="AB44:AB107" si="27">F44*$G$24</f>
        <v>319.81853010316661</v>
      </c>
      <c r="AC44" s="26">
        <f t="shared" ref="AC44:AC107" si="28">ROUND(AB44-M44,2)</f>
        <v>0</v>
      </c>
      <c r="AD44" s="26">
        <f t="shared" si="13"/>
        <v>502.15489229814449</v>
      </c>
      <c r="AE44" s="26"/>
      <c r="AF44" s="14"/>
      <c r="AH44" s="27">
        <f t="shared" si="14"/>
        <v>29.260257399409415</v>
      </c>
      <c r="AI44" s="27">
        <f t="shared" si="15"/>
        <v>44.45</v>
      </c>
      <c r="AJ44" s="27"/>
      <c r="AK44" s="14">
        <f t="shared" si="16"/>
        <v>239.16666667000001</v>
      </c>
      <c r="AM44" s="23">
        <f t="shared" ref="AM44:AM75" si="29">IF($E$17="Mensual",C43+30,DATE(YEAR(C43),MONTH(C43)+1,DAY(C43)))</f>
        <v>44714</v>
      </c>
      <c r="AN44" s="23">
        <f t="shared" ref="AN44:AN75" si="30">IF($L$17=31,DATE(YEAR(AN43),MONTH(AN43)+2,0),AM44)</f>
        <v>44714</v>
      </c>
      <c r="AO44" s="23">
        <f t="shared" ref="AO44:AO75" si="31">IF(AND(MONTH(AO43)+1=2,OR($L$17=29,$L$17=30)),DATE(YEAR(AO43),MONTH(AO43)+2,0),DATE(YEAR(AO43),MONTH(AO43)+1,DAY($L$17)))</f>
        <v>44714</v>
      </c>
      <c r="AQ44" s="16">
        <v>2</v>
      </c>
      <c r="AR44" s="23">
        <f t="shared" ref="AR44:AR75" si="32">IF(DAY(EOMONTH(C43,1))&lt;$L$17,DATE(YEAR(C43),MONTH(C43)+2,0),DATE(YEAR(C43),MONTH(C43)+1,DAY($L$17)))</f>
        <v>44714</v>
      </c>
      <c r="AS44" s="23">
        <f>AS43+30</f>
        <v>44713</v>
      </c>
    </row>
    <row r="45" spans="1:45" x14ac:dyDescent="0.2">
      <c r="A45" s="40"/>
      <c r="B45" s="30">
        <v>3</v>
      </c>
      <c r="C45" s="31">
        <f t="shared" si="17"/>
        <v>44744</v>
      </c>
      <c r="D45" s="32">
        <f t="shared" si="4"/>
        <v>57535.624007700069</v>
      </c>
      <c r="E45" s="33">
        <f t="shared" si="5"/>
        <v>57024.039796397949</v>
      </c>
      <c r="F45" s="32">
        <f t="shared" si="6"/>
        <v>22535.624007700066</v>
      </c>
      <c r="G45" s="34">
        <f t="shared" si="2"/>
        <v>35000</v>
      </c>
      <c r="H45" s="33">
        <f t="shared" si="3"/>
        <v>22024.039796397945</v>
      </c>
      <c r="I45" s="34">
        <f t="shared" si="7"/>
        <v>511.58421130212031</v>
      </c>
      <c r="J45" s="34">
        <f t="shared" si="8"/>
        <v>0</v>
      </c>
      <c r="K45" s="34">
        <f t="shared" si="18"/>
        <v>511.58421130212031</v>
      </c>
      <c r="L45" s="34">
        <f t="shared" si="19"/>
        <v>798.66752591314935</v>
      </c>
      <c r="M45" s="34">
        <f t="shared" si="20"/>
        <v>312.82308146936668</v>
      </c>
      <c r="N45" s="34">
        <f t="shared" si="21"/>
        <v>485.84444444378261</v>
      </c>
      <c r="O45" s="34">
        <f t="shared" si="22"/>
        <v>28.620242489756418</v>
      </c>
      <c r="P45" s="34">
        <f t="shared" si="23"/>
        <v>44.45</v>
      </c>
      <c r="Q45" s="34">
        <f t="shared" si="24"/>
        <v>73.070242489756424</v>
      </c>
      <c r="R45" s="34">
        <f t="shared" si="25"/>
        <v>239.17</v>
      </c>
      <c r="S45" s="34"/>
      <c r="T45" s="36">
        <f t="shared" si="26"/>
        <v>853.02753526124332</v>
      </c>
      <c r="U45" s="34">
        <f t="shared" si="9"/>
        <v>10</v>
      </c>
      <c r="V45" s="75">
        <f t="shared" si="10"/>
        <v>1632.4919797050261</v>
      </c>
      <c r="W45" s="48"/>
      <c r="X45" s="20">
        <f t="shared" si="11"/>
        <v>0.95583969000000002</v>
      </c>
      <c r="Y45" s="24">
        <f t="shared" si="12"/>
        <v>1</v>
      </c>
      <c r="Z45" s="22">
        <f t="shared" ref="Z45:Z108" si="33">+Z44+30</f>
        <v>90</v>
      </c>
      <c r="AB45" s="25">
        <f t="shared" si="27"/>
        <v>312.82308146936668</v>
      </c>
      <c r="AC45" s="26">
        <f t="shared" si="28"/>
        <v>0</v>
      </c>
      <c r="AD45" s="26">
        <f t="shared" si="13"/>
        <v>485.84444444378261</v>
      </c>
      <c r="AE45" s="26"/>
      <c r="AF45" s="14"/>
      <c r="AH45" s="27">
        <f t="shared" si="14"/>
        <v>28.620242489756418</v>
      </c>
      <c r="AI45" s="27">
        <f t="shared" si="15"/>
        <v>44.45</v>
      </c>
      <c r="AJ45" s="27"/>
      <c r="AK45" s="14">
        <f t="shared" si="16"/>
        <v>239.16666667000001</v>
      </c>
      <c r="AM45" s="23">
        <f t="shared" si="29"/>
        <v>44744</v>
      </c>
      <c r="AN45" s="23">
        <f t="shared" si="30"/>
        <v>44744</v>
      </c>
      <c r="AO45" s="23">
        <f t="shared" si="31"/>
        <v>44744</v>
      </c>
      <c r="AQ45" s="16">
        <v>3</v>
      </c>
      <c r="AR45" s="23">
        <f t="shared" si="32"/>
        <v>44744</v>
      </c>
      <c r="AS45" s="23">
        <f t="shared" ref="AS45:AS108" si="34">AS44+30</f>
        <v>44743</v>
      </c>
    </row>
    <row r="46" spans="1:45" x14ac:dyDescent="0.2">
      <c r="A46" s="40"/>
      <c r="B46" s="30">
        <v>4</v>
      </c>
      <c r="C46" s="31">
        <f t="shared" si="17"/>
        <v>44775</v>
      </c>
      <c r="D46" s="32">
        <f t="shared" si="4"/>
        <v>57024.039796397949</v>
      </c>
      <c r="E46" s="33">
        <f t="shared" si="5"/>
        <v>56504.704434582651</v>
      </c>
      <c r="F46" s="32">
        <f t="shared" si="6"/>
        <v>22024.039796397945</v>
      </c>
      <c r="G46" s="34">
        <f t="shared" si="2"/>
        <v>35000</v>
      </c>
      <c r="H46" s="33">
        <f t="shared" si="3"/>
        <v>21504.704434582651</v>
      </c>
      <c r="I46" s="34">
        <f t="shared" si="7"/>
        <v>519.3353618152953</v>
      </c>
      <c r="J46" s="34">
        <f t="shared" si="8"/>
        <v>0</v>
      </c>
      <c r="K46" s="34">
        <f t="shared" si="18"/>
        <v>519.3353618152953</v>
      </c>
      <c r="L46" s="34">
        <f t="shared" si="19"/>
        <v>791.56608734832753</v>
      </c>
      <c r="M46" s="34">
        <f t="shared" si="20"/>
        <v>305.72164290454486</v>
      </c>
      <c r="N46" s="34">
        <f t="shared" si="21"/>
        <v>485.84444444378261</v>
      </c>
      <c r="O46" s="34">
        <f t="shared" si="22"/>
        <v>27.970530541403239</v>
      </c>
      <c r="P46" s="34">
        <f t="shared" si="23"/>
        <v>44.45</v>
      </c>
      <c r="Q46" s="34">
        <f t="shared" si="24"/>
        <v>72.420530541403238</v>
      </c>
      <c r="R46" s="34">
        <f t="shared" si="25"/>
        <v>239.17</v>
      </c>
      <c r="S46" s="34"/>
      <c r="T46" s="36">
        <f t="shared" si="26"/>
        <v>853.02753526124343</v>
      </c>
      <c r="U46" s="34">
        <f t="shared" si="9"/>
        <v>10</v>
      </c>
      <c r="V46" s="75">
        <f t="shared" si="10"/>
        <v>1632.4919797050261</v>
      </c>
      <c r="W46" s="48"/>
      <c r="X46" s="20">
        <f t="shared" si="11"/>
        <v>0.94155728999999999</v>
      </c>
      <c r="Y46" s="24">
        <f t="shared" si="12"/>
        <v>1</v>
      </c>
      <c r="Z46" s="22">
        <f t="shared" si="33"/>
        <v>120</v>
      </c>
      <c r="AB46" s="25">
        <f t="shared" si="27"/>
        <v>305.72164290454486</v>
      </c>
      <c r="AC46" s="26">
        <f t="shared" si="28"/>
        <v>0</v>
      </c>
      <c r="AD46" s="26">
        <f t="shared" si="13"/>
        <v>502.15489229814449</v>
      </c>
      <c r="AE46" s="26"/>
      <c r="AF46" s="14"/>
      <c r="AH46" s="27">
        <f t="shared" si="14"/>
        <v>27.970530541403239</v>
      </c>
      <c r="AI46" s="27">
        <f t="shared" si="15"/>
        <v>44.45</v>
      </c>
      <c r="AJ46" s="27"/>
      <c r="AK46" s="14">
        <f t="shared" si="16"/>
        <v>239.16666667000001</v>
      </c>
      <c r="AM46" s="23">
        <f t="shared" si="29"/>
        <v>44775</v>
      </c>
      <c r="AN46" s="23">
        <f t="shared" si="30"/>
        <v>44775</v>
      </c>
      <c r="AO46" s="23">
        <f t="shared" si="31"/>
        <v>44775</v>
      </c>
      <c r="AQ46" s="16">
        <v>4</v>
      </c>
      <c r="AR46" s="23">
        <f t="shared" si="32"/>
        <v>44775</v>
      </c>
      <c r="AS46" s="23">
        <f t="shared" si="34"/>
        <v>44773</v>
      </c>
    </row>
    <row r="47" spans="1:45" x14ac:dyDescent="0.2">
      <c r="A47" s="40"/>
      <c r="B47" s="30">
        <v>5</v>
      </c>
      <c r="C47" s="31">
        <f t="shared" si="17"/>
        <v>44806</v>
      </c>
      <c r="D47" s="32">
        <f t="shared" si="4"/>
        <v>56504.704434582651</v>
      </c>
      <c r="E47" s="33">
        <f t="shared" si="5"/>
        <v>55977.500482479947</v>
      </c>
      <c r="F47" s="32">
        <f t="shared" si="6"/>
        <v>21504.704434582651</v>
      </c>
      <c r="G47" s="34">
        <f t="shared" si="2"/>
        <v>35000</v>
      </c>
      <c r="H47" s="33">
        <f t="shared" si="3"/>
        <v>20977.500482479943</v>
      </c>
      <c r="I47" s="34">
        <f t="shared" si="7"/>
        <v>527.20395210270601</v>
      </c>
      <c r="J47" s="34">
        <f t="shared" si="8"/>
        <v>0</v>
      </c>
      <c r="K47" s="34">
        <f t="shared" si="18"/>
        <v>527.20395210270601</v>
      </c>
      <c r="L47" s="34">
        <f t="shared" si="19"/>
        <v>784.35705297042171</v>
      </c>
      <c r="M47" s="34">
        <f t="shared" si="20"/>
        <v>298.5126085266391</v>
      </c>
      <c r="N47" s="34">
        <f t="shared" si="21"/>
        <v>485.84444444378261</v>
      </c>
      <c r="O47" s="34">
        <f t="shared" si="22"/>
        <v>27.310974631898336</v>
      </c>
      <c r="P47" s="34">
        <f t="shared" si="23"/>
        <v>44.45</v>
      </c>
      <c r="Q47" s="34">
        <f t="shared" si="24"/>
        <v>71.760974631898335</v>
      </c>
      <c r="R47" s="34">
        <f t="shared" si="25"/>
        <v>239.17</v>
      </c>
      <c r="S47" s="34"/>
      <c r="T47" s="36">
        <f t="shared" si="26"/>
        <v>853.02753526124354</v>
      </c>
      <c r="U47" s="34">
        <f t="shared" si="9"/>
        <v>10</v>
      </c>
      <c r="V47" s="75">
        <f t="shared" si="10"/>
        <v>1632.4919797050261</v>
      </c>
      <c r="W47" s="48"/>
      <c r="X47" s="20">
        <f t="shared" si="11"/>
        <v>0.92748828999999999</v>
      </c>
      <c r="Y47" s="24">
        <f t="shared" si="12"/>
        <v>1</v>
      </c>
      <c r="Z47" s="22">
        <f t="shared" si="33"/>
        <v>150</v>
      </c>
      <c r="AB47" s="25">
        <f t="shared" si="27"/>
        <v>298.5126085266391</v>
      </c>
      <c r="AC47" s="26">
        <f t="shared" si="28"/>
        <v>0</v>
      </c>
      <c r="AD47" s="26">
        <f t="shared" si="13"/>
        <v>502.15489229814449</v>
      </c>
      <c r="AE47" s="26"/>
      <c r="AF47" s="14"/>
      <c r="AH47" s="27">
        <f t="shared" si="14"/>
        <v>27.310974631898336</v>
      </c>
      <c r="AI47" s="27">
        <f t="shared" si="15"/>
        <v>44.45</v>
      </c>
      <c r="AJ47" s="27"/>
      <c r="AK47" s="14">
        <f t="shared" si="16"/>
        <v>239.16666667000001</v>
      </c>
      <c r="AM47" s="23">
        <f t="shared" si="29"/>
        <v>44806</v>
      </c>
      <c r="AN47" s="23">
        <f t="shared" si="30"/>
        <v>44806</v>
      </c>
      <c r="AO47" s="23">
        <f t="shared" si="31"/>
        <v>44806</v>
      </c>
      <c r="AQ47" s="16">
        <v>5</v>
      </c>
      <c r="AR47" s="23">
        <f t="shared" si="32"/>
        <v>44806</v>
      </c>
      <c r="AS47" s="23">
        <f t="shared" si="34"/>
        <v>44803</v>
      </c>
    </row>
    <row r="48" spans="1:45" x14ac:dyDescent="0.2">
      <c r="A48" s="40"/>
      <c r="B48" s="30">
        <v>6</v>
      </c>
      <c r="C48" s="31">
        <f t="shared" si="17"/>
        <v>44836</v>
      </c>
      <c r="D48" s="32">
        <f t="shared" si="4"/>
        <v>55977.50048247994</v>
      </c>
      <c r="E48" s="33">
        <f t="shared" si="5"/>
        <v>55442.308720953857</v>
      </c>
      <c r="F48" s="32">
        <f t="shared" si="6"/>
        <v>20977.500482479943</v>
      </c>
      <c r="G48" s="34">
        <f t="shared" si="2"/>
        <v>35000</v>
      </c>
      <c r="H48" s="33">
        <f t="shared" si="3"/>
        <v>20442.308720953864</v>
      </c>
      <c r="I48" s="34">
        <f t="shared" si="7"/>
        <v>535.19176152608065</v>
      </c>
      <c r="J48" s="34">
        <f t="shared" si="8"/>
        <v>0</v>
      </c>
      <c r="K48" s="34">
        <f t="shared" si="18"/>
        <v>535.19176152608065</v>
      </c>
      <c r="L48" s="34">
        <f t="shared" si="19"/>
        <v>777.0387925662169</v>
      </c>
      <c r="M48" s="34">
        <f t="shared" si="20"/>
        <v>291.19434812243435</v>
      </c>
      <c r="N48" s="34">
        <f t="shared" si="21"/>
        <v>485.84444444378261</v>
      </c>
      <c r="O48" s="34">
        <f t="shared" si="22"/>
        <v>26.64142561272843</v>
      </c>
      <c r="P48" s="34">
        <f t="shared" si="23"/>
        <v>44.45</v>
      </c>
      <c r="Q48" s="34">
        <f t="shared" si="24"/>
        <v>71.091425612728429</v>
      </c>
      <c r="R48" s="34">
        <f t="shared" si="25"/>
        <v>239.17</v>
      </c>
      <c r="S48" s="34"/>
      <c r="T48" s="36">
        <f t="shared" si="26"/>
        <v>853.02753526124343</v>
      </c>
      <c r="U48" s="34">
        <f t="shared" si="9"/>
        <v>10</v>
      </c>
      <c r="V48" s="75">
        <f t="shared" si="10"/>
        <v>1632.4919797050261</v>
      </c>
      <c r="W48" s="48"/>
      <c r="X48" s="20">
        <f t="shared" si="11"/>
        <v>0.91362951999999997</v>
      </c>
      <c r="Y48" s="24">
        <f t="shared" si="12"/>
        <v>1</v>
      </c>
      <c r="Z48" s="22">
        <f t="shared" si="33"/>
        <v>180</v>
      </c>
      <c r="AB48" s="25">
        <f t="shared" si="27"/>
        <v>291.19434812243435</v>
      </c>
      <c r="AC48" s="26">
        <f t="shared" si="28"/>
        <v>0</v>
      </c>
      <c r="AD48" s="26">
        <f t="shared" si="13"/>
        <v>485.84444444378261</v>
      </c>
      <c r="AE48" s="26"/>
      <c r="AF48" s="14"/>
      <c r="AH48" s="27">
        <f t="shared" si="14"/>
        <v>26.64142561272843</v>
      </c>
      <c r="AI48" s="27">
        <f t="shared" si="15"/>
        <v>44.45</v>
      </c>
      <c r="AJ48" s="27"/>
      <c r="AK48" s="14">
        <f t="shared" si="16"/>
        <v>239.16666667000001</v>
      </c>
      <c r="AM48" s="23">
        <f t="shared" si="29"/>
        <v>44836</v>
      </c>
      <c r="AN48" s="23">
        <f t="shared" si="30"/>
        <v>44836</v>
      </c>
      <c r="AO48" s="23">
        <f t="shared" si="31"/>
        <v>44836</v>
      </c>
      <c r="AQ48" s="16">
        <v>6</v>
      </c>
      <c r="AR48" s="23">
        <f t="shared" si="32"/>
        <v>44836</v>
      </c>
      <c r="AS48" s="23">
        <f t="shared" si="34"/>
        <v>44833</v>
      </c>
    </row>
    <row r="49" spans="1:45" x14ac:dyDescent="0.2">
      <c r="A49" s="40"/>
      <c r="B49" s="30">
        <v>7</v>
      </c>
      <c r="C49" s="31">
        <f t="shared" si="17"/>
        <v>44867</v>
      </c>
      <c r="D49" s="32">
        <f t="shared" si="4"/>
        <v>55442.308720953864</v>
      </c>
      <c r="E49" s="33">
        <f t="shared" si="5"/>
        <v>54899.00812454713</v>
      </c>
      <c r="F49" s="32">
        <f t="shared" si="6"/>
        <v>20442.308720953864</v>
      </c>
      <c r="G49" s="34">
        <f t="shared" si="2"/>
        <v>35000</v>
      </c>
      <c r="H49" s="33">
        <f t="shared" si="3"/>
        <v>19899.008124547126</v>
      </c>
      <c r="I49" s="34">
        <f t="shared" si="7"/>
        <v>543.30059640673744</v>
      </c>
      <c r="J49" s="34">
        <f t="shared" si="8"/>
        <v>0</v>
      </c>
      <c r="K49" s="34">
        <f t="shared" si="18"/>
        <v>543.30059640673744</v>
      </c>
      <c r="L49" s="34">
        <f t="shared" si="19"/>
        <v>769.60965122269783</v>
      </c>
      <c r="M49" s="34">
        <f t="shared" si="20"/>
        <v>283.76520677891523</v>
      </c>
      <c r="N49" s="34">
        <f t="shared" si="21"/>
        <v>485.84444444378261</v>
      </c>
      <c r="O49" s="34">
        <f t="shared" si="22"/>
        <v>25.961732075590845</v>
      </c>
      <c r="P49" s="34">
        <f t="shared" si="23"/>
        <v>44.45</v>
      </c>
      <c r="Q49" s="34">
        <f t="shared" si="24"/>
        <v>70.411732075590848</v>
      </c>
      <c r="R49" s="34">
        <f t="shared" si="25"/>
        <v>239.17</v>
      </c>
      <c r="S49" s="34"/>
      <c r="T49" s="36">
        <f t="shared" si="26"/>
        <v>853.02753526124343</v>
      </c>
      <c r="U49" s="34">
        <f t="shared" si="9"/>
        <v>10</v>
      </c>
      <c r="V49" s="75">
        <f t="shared" si="10"/>
        <v>1632.4919797050261</v>
      </c>
      <c r="W49" s="48"/>
      <c r="X49" s="20">
        <f t="shared" si="11"/>
        <v>0.89997782999999998</v>
      </c>
      <c r="Y49" s="24">
        <f t="shared" si="12"/>
        <v>1</v>
      </c>
      <c r="Z49" s="22">
        <f t="shared" si="33"/>
        <v>210</v>
      </c>
      <c r="AB49" s="25">
        <f t="shared" si="27"/>
        <v>283.76520677891523</v>
      </c>
      <c r="AC49" s="26">
        <f t="shared" si="28"/>
        <v>0</v>
      </c>
      <c r="AD49" s="26">
        <f t="shared" si="13"/>
        <v>502.15489229814449</v>
      </c>
      <c r="AE49" s="26"/>
      <c r="AF49" s="14"/>
      <c r="AH49" s="27">
        <f t="shared" si="14"/>
        <v>25.961732075590845</v>
      </c>
      <c r="AI49" s="27">
        <f t="shared" si="15"/>
        <v>44.45</v>
      </c>
      <c r="AJ49" s="27"/>
      <c r="AK49" s="14">
        <f t="shared" si="16"/>
        <v>239.16666667000001</v>
      </c>
      <c r="AM49" s="23">
        <f t="shared" si="29"/>
        <v>44867</v>
      </c>
      <c r="AN49" s="23">
        <f t="shared" si="30"/>
        <v>44867</v>
      </c>
      <c r="AO49" s="23">
        <f t="shared" si="31"/>
        <v>44867</v>
      </c>
      <c r="AQ49" s="16">
        <v>7</v>
      </c>
      <c r="AR49" s="23">
        <f t="shared" si="32"/>
        <v>44867</v>
      </c>
      <c r="AS49" s="23">
        <f t="shared" si="34"/>
        <v>44863</v>
      </c>
    </row>
    <row r="50" spans="1:45" x14ac:dyDescent="0.2">
      <c r="A50" s="40"/>
      <c r="B50" s="30">
        <v>8</v>
      </c>
      <c r="C50" s="31">
        <f t="shared" si="17"/>
        <v>44897</v>
      </c>
      <c r="D50" s="32">
        <f t="shared" si="4"/>
        <v>54899.008124547123</v>
      </c>
      <c r="E50" s="33">
        <f t="shared" si="5"/>
        <v>54347.475834113066</v>
      </c>
      <c r="F50" s="32">
        <f t="shared" si="6"/>
        <v>19899.008124547126</v>
      </c>
      <c r="G50" s="34">
        <f t="shared" si="2"/>
        <v>35000</v>
      </c>
      <c r="H50" s="33">
        <f t="shared" si="3"/>
        <v>19347.475834113069</v>
      </c>
      <c r="I50" s="34">
        <f t="shared" si="7"/>
        <v>551.53229043405634</v>
      </c>
      <c r="J50" s="34">
        <f t="shared" si="8"/>
        <v>0</v>
      </c>
      <c r="K50" s="34">
        <f t="shared" si="18"/>
        <v>551.53229043405634</v>
      </c>
      <c r="L50" s="34">
        <f t="shared" si="19"/>
        <v>762.06794895281496</v>
      </c>
      <c r="M50" s="34">
        <f t="shared" si="20"/>
        <v>276.2235045090323</v>
      </c>
      <c r="N50" s="34">
        <f t="shared" si="21"/>
        <v>485.84444444378261</v>
      </c>
      <c r="O50" s="34">
        <f t="shared" si="22"/>
        <v>25.271740318154837</v>
      </c>
      <c r="P50" s="34">
        <f t="shared" si="23"/>
        <v>44.45</v>
      </c>
      <c r="Q50" s="34">
        <f t="shared" si="24"/>
        <v>69.721740318154843</v>
      </c>
      <c r="R50" s="34">
        <f t="shared" si="25"/>
        <v>239.17</v>
      </c>
      <c r="S50" s="34"/>
      <c r="T50" s="36">
        <f t="shared" si="26"/>
        <v>853.02753526124343</v>
      </c>
      <c r="U50" s="34">
        <f t="shared" si="9"/>
        <v>10</v>
      </c>
      <c r="V50" s="75">
        <f t="shared" si="10"/>
        <v>1632.4919797050261</v>
      </c>
      <c r="W50" s="48"/>
      <c r="X50" s="20">
        <f t="shared" si="11"/>
        <v>0.88653011999999998</v>
      </c>
      <c r="Y50" s="24">
        <f t="shared" si="12"/>
        <v>1</v>
      </c>
      <c r="Z50" s="22">
        <f t="shared" si="33"/>
        <v>240</v>
      </c>
      <c r="AB50" s="25">
        <f t="shared" si="27"/>
        <v>276.2235045090323</v>
      </c>
      <c r="AC50" s="26">
        <f t="shared" si="28"/>
        <v>0</v>
      </c>
      <c r="AD50" s="26">
        <f t="shared" si="13"/>
        <v>485.84444444378261</v>
      </c>
      <c r="AE50" s="26"/>
      <c r="AF50" s="14"/>
      <c r="AH50" s="27">
        <f t="shared" si="14"/>
        <v>25.271740318154837</v>
      </c>
      <c r="AI50" s="27">
        <f t="shared" si="15"/>
        <v>44.45</v>
      </c>
      <c r="AJ50" s="27"/>
      <c r="AK50" s="14">
        <f t="shared" si="16"/>
        <v>239.16666667000001</v>
      </c>
      <c r="AM50" s="23">
        <f t="shared" si="29"/>
        <v>44897</v>
      </c>
      <c r="AN50" s="23">
        <f t="shared" si="30"/>
        <v>44897</v>
      </c>
      <c r="AO50" s="23">
        <f t="shared" si="31"/>
        <v>44897</v>
      </c>
      <c r="AQ50" s="16">
        <v>8</v>
      </c>
      <c r="AR50" s="23">
        <f t="shared" si="32"/>
        <v>44897</v>
      </c>
      <c r="AS50" s="23">
        <f t="shared" si="34"/>
        <v>44893</v>
      </c>
    </row>
    <row r="51" spans="1:45" x14ac:dyDescent="0.2">
      <c r="A51" s="40"/>
      <c r="B51" s="30">
        <v>9</v>
      </c>
      <c r="C51" s="31">
        <f t="shared" si="17"/>
        <v>44928</v>
      </c>
      <c r="D51" s="32">
        <f t="shared" si="4"/>
        <v>54347.475834113066</v>
      </c>
      <c r="E51" s="33">
        <f t="shared" si="5"/>
        <v>53787.587129032923</v>
      </c>
      <c r="F51" s="32">
        <f t="shared" si="6"/>
        <v>19347.475834113069</v>
      </c>
      <c r="G51" s="34">
        <f t="shared" si="2"/>
        <v>35000</v>
      </c>
      <c r="H51" s="33">
        <f t="shared" si="3"/>
        <v>18787.587129032927</v>
      </c>
      <c r="I51" s="34">
        <f t="shared" si="7"/>
        <v>559.88870508014054</v>
      </c>
      <c r="J51" s="34">
        <f t="shared" si="8"/>
        <v>0</v>
      </c>
      <c r="K51" s="34">
        <f t="shared" si="18"/>
        <v>559.88870508014054</v>
      </c>
      <c r="L51" s="34">
        <f t="shared" si="19"/>
        <v>754.41198031558133</v>
      </c>
      <c r="M51" s="34">
        <f t="shared" si="20"/>
        <v>268.56753587179873</v>
      </c>
      <c r="N51" s="34">
        <f t="shared" si="21"/>
        <v>485.84444444378261</v>
      </c>
      <c r="O51" s="34">
        <f t="shared" si="22"/>
        <v>24.571294309304136</v>
      </c>
      <c r="P51" s="34">
        <f t="shared" si="23"/>
        <v>44.45</v>
      </c>
      <c r="Q51" s="34">
        <f t="shared" si="24"/>
        <v>69.021294309304139</v>
      </c>
      <c r="R51" s="34">
        <f t="shared" si="25"/>
        <v>239.17</v>
      </c>
      <c r="S51" s="34"/>
      <c r="T51" s="36">
        <f t="shared" si="26"/>
        <v>853.02753526124332</v>
      </c>
      <c r="U51" s="34">
        <f t="shared" si="9"/>
        <v>10</v>
      </c>
      <c r="V51" s="75">
        <f t="shared" si="10"/>
        <v>1632.4919797050261</v>
      </c>
      <c r="W51" s="48"/>
      <c r="X51" s="20">
        <f t="shared" si="11"/>
        <v>0.87328335999999995</v>
      </c>
      <c r="Y51" s="24">
        <f t="shared" si="12"/>
        <v>1</v>
      </c>
      <c r="Z51" s="22">
        <f t="shared" si="33"/>
        <v>270</v>
      </c>
      <c r="AB51" s="25">
        <f t="shared" si="27"/>
        <v>268.56753587179873</v>
      </c>
      <c r="AC51" s="26">
        <f t="shared" si="28"/>
        <v>0</v>
      </c>
      <c r="AD51" s="26">
        <f t="shared" si="13"/>
        <v>502.15489229814449</v>
      </c>
      <c r="AE51" s="26"/>
      <c r="AF51" s="14"/>
      <c r="AH51" s="27">
        <f t="shared" si="14"/>
        <v>24.571294309304136</v>
      </c>
      <c r="AI51" s="27">
        <f t="shared" si="15"/>
        <v>44.45</v>
      </c>
      <c r="AJ51" s="27"/>
      <c r="AK51" s="14">
        <f t="shared" si="16"/>
        <v>239.16666667000001</v>
      </c>
      <c r="AM51" s="23">
        <f t="shared" si="29"/>
        <v>44928</v>
      </c>
      <c r="AN51" s="23">
        <f t="shared" si="30"/>
        <v>44928</v>
      </c>
      <c r="AO51" s="23">
        <f t="shared" si="31"/>
        <v>44928</v>
      </c>
      <c r="AQ51" s="16">
        <v>9</v>
      </c>
      <c r="AR51" s="23">
        <f t="shared" si="32"/>
        <v>44928</v>
      </c>
      <c r="AS51" s="23">
        <f t="shared" si="34"/>
        <v>44923</v>
      </c>
    </row>
    <row r="52" spans="1:45" x14ac:dyDescent="0.2">
      <c r="A52" s="40"/>
      <c r="B52" s="30">
        <v>10</v>
      </c>
      <c r="C52" s="31">
        <f t="shared" si="17"/>
        <v>44959</v>
      </c>
      <c r="D52" s="32">
        <f t="shared" si="4"/>
        <v>53787.587129032923</v>
      </c>
      <c r="E52" s="33">
        <f t="shared" si="5"/>
        <v>53219.215399012166</v>
      </c>
      <c r="F52" s="32">
        <f t="shared" si="6"/>
        <v>18787.587129032927</v>
      </c>
      <c r="G52" s="34">
        <f t="shared" si="2"/>
        <v>35000</v>
      </c>
      <c r="H52" s="33">
        <f t="shared" si="3"/>
        <v>18219.215399012166</v>
      </c>
      <c r="I52" s="34">
        <f t="shared" si="7"/>
        <v>568.37173002075963</v>
      </c>
      <c r="J52" s="34">
        <f t="shared" si="8"/>
        <v>0</v>
      </c>
      <c r="K52" s="34">
        <f t="shared" si="18"/>
        <v>568.37173002075963</v>
      </c>
      <c r="L52" s="34">
        <f t="shared" si="19"/>
        <v>746.64001403041357</v>
      </c>
      <c r="M52" s="34">
        <f t="shared" si="20"/>
        <v>260.7955695866309</v>
      </c>
      <c r="N52" s="34">
        <f t="shared" si="21"/>
        <v>485.84444444378261</v>
      </c>
      <c r="O52" s="34">
        <f t="shared" si="22"/>
        <v>23.860235653852921</v>
      </c>
      <c r="P52" s="34">
        <f t="shared" si="23"/>
        <v>44.45</v>
      </c>
      <c r="Q52" s="34">
        <f t="shared" si="24"/>
        <v>68.310235653852928</v>
      </c>
      <c r="R52" s="34">
        <f t="shared" si="25"/>
        <v>239.17</v>
      </c>
      <c r="S52" s="34"/>
      <c r="T52" s="36">
        <f t="shared" si="26"/>
        <v>853.02753526124343</v>
      </c>
      <c r="U52" s="34">
        <f t="shared" si="9"/>
        <v>10</v>
      </c>
      <c r="V52" s="75">
        <f t="shared" si="10"/>
        <v>1632.4919797050261</v>
      </c>
      <c r="W52" s="48"/>
      <c r="X52" s="20">
        <f t="shared" si="11"/>
        <v>0.86023453000000005</v>
      </c>
      <c r="Y52" s="24">
        <f t="shared" si="12"/>
        <v>1</v>
      </c>
      <c r="Z52" s="22">
        <f t="shared" si="33"/>
        <v>300</v>
      </c>
      <c r="AB52" s="25">
        <f t="shared" si="27"/>
        <v>260.7955695866309</v>
      </c>
      <c r="AC52" s="26">
        <f t="shared" si="28"/>
        <v>0</v>
      </c>
      <c r="AD52" s="26">
        <f t="shared" si="13"/>
        <v>502.15489229814449</v>
      </c>
      <c r="AE52" s="26"/>
      <c r="AF52" s="14"/>
      <c r="AH52" s="27">
        <f t="shared" si="14"/>
        <v>23.860235653852921</v>
      </c>
      <c r="AI52" s="27">
        <f t="shared" si="15"/>
        <v>44.45</v>
      </c>
      <c r="AJ52" s="27"/>
      <c r="AK52" s="14">
        <f t="shared" si="16"/>
        <v>239.16666667000001</v>
      </c>
      <c r="AM52" s="23">
        <f t="shared" si="29"/>
        <v>44959</v>
      </c>
      <c r="AN52" s="23">
        <f t="shared" si="30"/>
        <v>44959</v>
      </c>
      <c r="AO52" s="23">
        <f t="shared" si="31"/>
        <v>44959</v>
      </c>
      <c r="AQ52" s="16">
        <v>10</v>
      </c>
      <c r="AR52" s="23">
        <f t="shared" si="32"/>
        <v>44959</v>
      </c>
      <c r="AS52" s="23">
        <f t="shared" si="34"/>
        <v>44953</v>
      </c>
    </row>
    <row r="53" spans="1:45" x14ac:dyDescent="0.2">
      <c r="A53" s="40"/>
      <c r="B53" s="30">
        <v>11</v>
      </c>
      <c r="C53" s="31">
        <f t="shared" si="17"/>
        <v>44987</v>
      </c>
      <c r="D53" s="32">
        <f t="shared" si="4"/>
        <v>53219.215399012166</v>
      </c>
      <c r="E53" s="33">
        <f t="shared" si="5"/>
        <v>52642.232115449493</v>
      </c>
      <c r="F53" s="32">
        <f t="shared" si="6"/>
        <v>18219.215399012166</v>
      </c>
      <c r="G53" s="34">
        <f t="shared" si="2"/>
        <v>35000</v>
      </c>
      <c r="H53" s="33">
        <f t="shared" si="3"/>
        <v>17642.232115449497</v>
      </c>
      <c r="I53" s="34">
        <f t="shared" si="7"/>
        <v>576.98328356267075</v>
      </c>
      <c r="J53" s="34">
        <f t="shared" si="8"/>
        <v>0</v>
      </c>
      <c r="K53" s="34">
        <f t="shared" si="18"/>
        <v>576.98328356267075</v>
      </c>
      <c r="L53" s="34">
        <f t="shared" si="19"/>
        <v>738.75029258562824</v>
      </c>
      <c r="M53" s="34">
        <f t="shared" si="20"/>
        <v>252.90584814184561</v>
      </c>
      <c r="N53" s="34">
        <f t="shared" si="21"/>
        <v>485.84444444378261</v>
      </c>
      <c r="O53" s="34">
        <f t="shared" si="22"/>
        <v>23.138403556727127</v>
      </c>
      <c r="P53" s="34">
        <f t="shared" si="23"/>
        <v>44.45</v>
      </c>
      <c r="Q53" s="34">
        <f t="shared" si="24"/>
        <v>67.58840355672713</v>
      </c>
      <c r="R53" s="34">
        <f t="shared" si="25"/>
        <v>239.17</v>
      </c>
      <c r="S53" s="34"/>
      <c r="T53" s="36">
        <f t="shared" si="26"/>
        <v>853.02753526124343</v>
      </c>
      <c r="U53" s="34">
        <f t="shared" si="9"/>
        <v>10</v>
      </c>
      <c r="V53" s="75">
        <f t="shared" si="10"/>
        <v>1632.4919797050261</v>
      </c>
      <c r="W53" s="48"/>
      <c r="X53" s="20">
        <f t="shared" si="11"/>
        <v>0.84738068</v>
      </c>
      <c r="Y53" s="24">
        <f t="shared" si="12"/>
        <v>1</v>
      </c>
      <c r="Z53" s="22">
        <f t="shared" si="33"/>
        <v>330</v>
      </c>
      <c r="AB53" s="25">
        <f t="shared" si="27"/>
        <v>252.90584814184561</v>
      </c>
      <c r="AC53" s="26">
        <f t="shared" si="28"/>
        <v>0</v>
      </c>
      <c r="AD53" s="26">
        <f t="shared" si="13"/>
        <v>453.24602539625226</v>
      </c>
      <c r="AE53" s="26"/>
      <c r="AF53" s="14"/>
      <c r="AH53" s="27">
        <f t="shared" si="14"/>
        <v>23.138403556727127</v>
      </c>
      <c r="AI53" s="27">
        <f t="shared" si="15"/>
        <v>44.45</v>
      </c>
      <c r="AJ53" s="27"/>
      <c r="AK53" s="14">
        <f t="shared" si="16"/>
        <v>239.16666667000001</v>
      </c>
      <c r="AM53" s="23">
        <f t="shared" si="29"/>
        <v>44987</v>
      </c>
      <c r="AN53" s="23">
        <f t="shared" si="30"/>
        <v>44987</v>
      </c>
      <c r="AO53" s="23">
        <f t="shared" si="31"/>
        <v>44987</v>
      </c>
      <c r="AQ53" s="16">
        <v>11</v>
      </c>
      <c r="AR53" s="23">
        <f t="shared" si="32"/>
        <v>44987</v>
      </c>
      <c r="AS53" s="23">
        <f t="shared" si="34"/>
        <v>44983</v>
      </c>
    </row>
    <row r="54" spans="1:45" x14ac:dyDescent="0.2">
      <c r="A54" s="40"/>
      <c r="B54" s="30">
        <v>12</v>
      </c>
      <c r="C54" s="31">
        <f t="shared" si="17"/>
        <v>45018</v>
      </c>
      <c r="D54" s="32">
        <f t="shared" si="4"/>
        <v>52642.2321154495</v>
      </c>
      <c r="E54" s="33">
        <f t="shared" si="5"/>
        <v>52056.506802372089</v>
      </c>
      <c r="F54" s="32">
        <f t="shared" si="6"/>
        <v>17642.232115449497</v>
      </c>
      <c r="G54" s="34">
        <f t="shared" si="2"/>
        <v>35000</v>
      </c>
      <c r="H54" s="33">
        <f t="shared" si="3"/>
        <v>17056.506802372081</v>
      </c>
      <c r="I54" s="34">
        <f t="shared" si="7"/>
        <v>585.72531307741474</v>
      </c>
      <c r="J54" s="34">
        <f t="shared" si="8"/>
        <v>0</v>
      </c>
      <c r="K54" s="34">
        <f t="shared" si="18"/>
        <v>585.72531307741474</v>
      </c>
      <c r="L54" s="34">
        <f t="shared" si="19"/>
        <v>730.74103184100818</v>
      </c>
      <c r="M54" s="34">
        <f t="shared" si="20"/>
        <v>244.89658739722563</v>
      </c>
      <c r="N54" s="34">
        <f t="shared" si="21"/>
        <v>485.84444444378261</v>
      </c>
      <c r="O54" s="34">
        <f t="shared" si="22"/>
        <v>22.405634786603116</v>
      </c>
      <c r="P54" s="34">
        <f t="shared" si="23"/>
        <v>44.45</v>
      </c>
      <c r="Q54" s="34">
        <f t="shared" si="24"/>
        <v>66.855634786603119</v>
      </c>
      <c r="R54" s="34">
        <f t="shared" si="25"/>
        <v>239.17</v>
      </c>
      <c r="S54" s="34"/>
      <c r="T54" s="36">
        <f t="shared" si="26"/>
        <v>853.02753526124343</v>
      </c>
      <c r="U54" s="34">
        <f t="shared" si="9"/>
        <v>10</v>
      </c>
      <c r="V54" s="75">
        <f t="shared" si="10"/>
        <v>1632.4919797050261</v>
      </c>
      <c r="W54" s="48"/>
      <c r="X54" s="20">
        <f t="shared" si="11"/>
        <v>0.83471890000000004</v>
      </c>
      <c r="Y54" s="24">
        <f t="shared" si="12"/>
        <v>1</v>
      </c>
      <c r="Z54" s="22">
        <f t="shared" si="33"/>
        <v>360</v>
      </c>
      <c r="AB54" s="25">
        <f t="shared" si="27"/>
        <v>244.89658739722563</v>
      </c>
      <c r="AC54" s="26">
        <f t="shared" si="28"/>
        <v>0</v>
      </c>
      <c r="AD54" s="26">
        <f t="shared" si="13"/>
        <v>502.15489229814449</v>
      </c>
      <c r="AE54" s="26"/>
      <c r="AF54" s="14"/>
      <c r="AH54" s="27">
        <f t="shared" si="14"/>
        <v>22.405634786603116</v>
      </c>
      <c r="AI54" s="27">
        <f t="shared" si="15"/>
        <v>44.45</v>
      </c>
      <c r="AJ54" s="27"/>
      <c r="AK54" s="14">
        <f t="shared" si="16"/>
        <v>239.16666667000001</v>
      </c>
      <c r="AM54" s="23">
        <f t="shared" si="29"/>
        <v>45018</v>
      </c>
      <c r="AN54" s="23">
        <f t="shared" si="30"/>
        <v>45018</v>
      </c>
      <c r="AO54" s="23">
        <f t="shared" si="31"/>
        <v>45018</v>
      </c>
      <c r="AQ54" s="16">
        <v>12</v>
      </c>
      <c r="AR54" s="23">
        <f t="shared" si="32"/>
        <v>45018</v>
      </c>
      <c r="AS54" s="23">
        <f t="shared" si="34"/>
        <v>45013</v>
      </c>
    </row>
    <row r="55" spans="1:45" x14ac:dyDescent="0.2">
      <c r="A55" s="40"/>
      <c r="B55" s="30">
        <v>13</v>
      </c>
      <c r="C55" s="31">
        <f t="shared" si="17"/>
        <v>45048</v>
      </c>
      <c r="D55" s="32">
        <f t="shared" si="4"/>
        <v>52056.506802372081</v>
      </c>
      <c r="E55" s="33">
        <f t="shared" si="5"/>
        <v>51461.9070069304</v>
      </c>
      <c r="F55" s="32">
        <f t="shared" si="6"/>
        <v>17056.506802372081</v>
      </c>
      <c r="G55" s="34">
        <f t="shared" si="2"/>
        <v>35000</v>
      </c>
      <c r="H55" s="33">
        <f t="shared" si="3"/>
        <v>16461.907006930396</v>
      </c>
      <c r="I55" s="34">
        <f t="shared" si="7"/>
        <v>594.59979544168459</v>
      </c>
      <c r="J55" s="34">
        <f t="shared" si="8"/>
        <v>0</v>
      </c>
      <c r="K55" s="34">
        <f t="shared" si="18"/>
        <v>594.59979544168459</v>
      </c>
      <c r="L55" s="34">
        <f t="shared" si="19"/>
        <v>722.61042062434603</v>
      </c>
      <c r="M55" s="34">
        <f t="shared" si="20"/>
        <v>236.76597618056348</v>
      </c>
      <c r="N55" s="34">
        <f t="shared" si="21"/>
        <v>485.84444444378261</v>
      </c>
      <c r="O55" s="34">
        <f t="shared" si="22"/>
        <v>21.661763638995389</v>
      </c>
      <c r="P55" s="34">
        <f t="shared" si="23"/>
        <v>44.45</v>
      </c>
      <c r="Q55" s="34">
        <f t="shared" si="24"/>
        <v>66.111763638995399</v>
      </c>
      <c r="R55" s="34">
        <f t="shared" si="25"/>
        <v>239.17</v>
      </c>
      <c r="S55" s="34"/>
      <c r="T55" s="36">
        <f t="shared" si="26"/>
        <v>853.02753526124343</v>
      </c>
      <c r="U55" s="34">
        <f t="shared" si="9"/>
        <v>10</v>
      </c>
      <c r="V55" s="75">
        <f t="shared" si="10"/>
        <v>1632.4919797050261</v>
      </c>
      <c r="W55" s="48"/>
      <c r="X55" s="20">
        <f t="shared" si="11"/>
        <v>0.82224631000000004</v>
      </c>
      <c r="Y55" s="24">
        <f t="shared" si="12"/>
        <v>1</v>
      </c>
      <c r="Z55" s="22">
        <f t="shared" si="33"/>
        <v>390</v>
      </c>
      <c r="AB55" s="25">
        <f t="shared" si="27"/>
        <v>236.76597618056348</v>
      </c>
      <c r="AC55" s="26">
        <f t="shared" si="28"/>
        <v>0</v>
      </c>
      <c r="AD55" s="26">
        <f t="shared" si="13"/>
        <v>485.84444444378261</v>
      </c>
      <c r="AE55" s="26"/>
      <c r="AF55" s="14"/>
      <c r="AH55" s="27">
        <f t="shared" si="14"/>
        <v>21.661763638995389</v>
      </c>
      <c r="AI55" s="27">
        <f t="shared" si="15"/>
        <v>44.45</v>
      </c>
      <c r="AJ55" s="27"/>
      <c r="AK55" s="14">
        <f t="shared" si="16"/>
        <v>239.16666667000001</v>
      </c>
      <c r="AM55" s="23">
        <f t="shared" si="29"/>
        <v>45048</v>
      </c>
      <c r="AN55" s="23">
        <f t="shared" si="30"/>
        <v>45048</v>
      </c>
      <c r="AO55" s="23">
        <f t="shared" si="31"/>
        <v>45048</v>
      </c>
      <c r="AQ55" s="16">
        <v>13</v>
      </c>
      <c r="AR55" s="23">
        <f t="shared" si="32"/>
        <v>45048</v>
      </c>
      <c r="AS55" s="23">
        <f t="shared" si="34"/>
        <v>45043</v>
      </c>
    </row>
    <row r="56" spans="1:45" x14ac:dyDescent="0.2">
      <c r="A56" s="40"/>
      <c r="B56" s="30">
        <v>14</v>
      </c>
      <c r="C56" s="31">
        <f t="shared" si="17"/>
        <v>45079</v>
      </c>
      <c r="D56" s="32">
        <f t="shared" si="4"/>
        <v>51461.9070069304</v>
      </c>
      <c r="E56" s="33">
        <f t="shared" si="5"/>
        <v>50858.298269446037</v>
      </c>
      <c r="F56" s="32">
        <f t="shared" si="6"/>
        <v>16461.907006930396</v>
      </c>
      <c r="G56" s="34">
        <f t="shared" si="2"/>
        <v>35000</v>
      </c>
      <c r="H56" s="33">
        <f t="shared" si="3"/>
        <v>15858.29826944603</v>
      </c>
      <c r="I56" s="34">
        <f t="shared" si="7"/>
        <v>603.60873748436575</v>
      </c>
      <c r="J56" s="34">
        <f t="shared" si="8"/>
        <v>0</v>
      </c>
      <c r="K56" s="34">
        <f t="shared" si="18"/>
        <v>603.60873748436575</v>
      </c>
      <c r="L56" s="34">
        <f t="shared" si="19"/>
        <v>714.35662032187531</v>
      </c>
      <c r="M56" s="34">
        <f t="shared" si="20"/>
        <v>228.51217587809268</v>
      </c>
      <c r="N56" s="34">
        <f t="shared" si="21"/>
        <v>485.84444444378261</v>
      </c>
      <c r="O56" s="34">
        <f t="shared" si="22"/>
        <v>20.906621898785044</v>
      </c>
      <c r="P56" s="34">
        <f t="shared" si="23"/>
        <v>44.45</v>
      </c>
      <c r="Q56" s="34">
        <f t="shared" si="24"/>
        <v>65.35662189878505</v>
      </c>
      <c r="R56" s="34">
        <f t="shared" si="25"/>
        <v>239.17</v>
      </c>
      <c r="S56" s="34"/>
      <c r="T56" s="36">
        <f t="shared" si="26"/>
        <v>853.02753526124343</v>
      </c>
      <c r="U56" s="34">
        <f t="shared" si="9"/>
        <v>10</v>
      </c>
      <c r="V56" s="75">
        <f t="shared" si="10"/>
        <v>1632.4919797050261</v>
      </c>
      <c r="W56" s="48"/>
      <c r="X56" s="20">
        <f t="shared" si="11"/>
        <v>0.80996009000000002</v>
      </c>
      <c r="Y56" s="24">
        <f t="shared" si="12"/>
        <v>1</v>
      </c>
      <c r="Z56" s="22">
        <f t="shared" si="33"/>
        <v>420</v>
      </c>
      <c r="AB56" s="25">
        <f t="shared" si="27"/>
        <v>228.51217587809268</v>
      </c>
      <c r="AC56" s="26">
        <f t="shared" si="28"/>
        <v>0</v>
      </c>
      <c r="AD56" s="26">
        <f t="shared" si="13"/>
        <v>502.15489229814449</v>
      </c>
      <c r="AE56" s="26"/>
      <c r="AF56" s="14"/>
      <c r="AH56" s="27">
        <f t="shared" si="14"/>
        <v>20.906621898785044</v>
      </c>
      <c r="AI56" s="27">
        <f t="shared" si="15"/>
        <v>44.45</v>
      </c>
      <c r="AJ56" s="27"/>
      <c r="AK56" s="14">
        <f t="shared" si="16"/>
        <v>239.16666667000001</v>
      </c>
      <c r="AM56" s="23">
        <f t="shared" si="29"/>
        <v>45079</v>
      </c>
      <c r="AN56" s="23">
        <f t="shared" si="30"/>
        <v>45079</v>
      </c>
      <c r="AO56" s="23">
        <f t="shared" si="31"/>
        <v>45079</v>
      </c>
      <c r="AQ56" s="16">
        <v>14</v>
      </c>
      <c r="AR56" s="23">
        <f t="shared" si="32"/>
        <v>45079</v>
      </c>
      <c r="AS56" s="23">
        <f t="shared" si="34"/>
        <v>45073</v>
      </c>
    </row>
    <row r="57" spans="1:45" x14ac:dyDescent="0.2">
      <c r="A57" s="40"/>
      <c r="B57" s="30">
        <v>15</v>
      </c>
      <c r="C57" s="31">
        <f t="shared" si="17"/>
        <v>45109</v>
      </c>
      <c r="D57" s="32">
        <f t="shared" si="4"/>
        <v>50858.29826944603</v>
      </c>
      <c r="E57" s="33">
        <f t="shared" si="5"/>
        <v>50245.544093005679</v>
      </c>
      <c r="F57" s="32">
        <f t="shared" si="6"/>
        <v>15858.29826944603</v>
      </c>
      <c r="G57" s="34">
        <f t="shared" si="2"/>
        <v>35000</v>
      </c>
      <c r="H57" s="33">
        <f t="shared" si="3"/>
        <v>15245.544093005679</v>
      </c>
      <c r="I57" s="34">
        <f t="shared" si="7"/>
        <v>612.75417644034985</v>
      </c>
      <c r="J57" s="34">
        <f t="shared" si="8"/>
        <v>0</v>
      </c>
      <c r="K57" s="34">
        <f t="shared" si="18"/>
        <v>612.75417644034985</v>
      </c>
      <c r="L57" s="34">
        <f t="shared" si="19"/>
        <v>705.97776446249566</v>
      </c>
      <c r="M57" s="34">
        <f t="shared" si="20"/>
        <v>220.13332001871308</v>
      </c>
      <c r="N57" s="34">
        <f t="shared" si="21"/>
        <v>485.84444444378261</v>
      </c>
      <c r="O57" s="34">
        <f t="shared" si="22"/>
        <v>20.140038802180506</v>
      </c>
      <c r="P57" s="34">
        <f t="shared" si="23"/>
        <v>44.45</v>
      </c>
      <c r="Q57" s="34">
        <f t="shared" si="24"/>
        <v>64.590038802180516</v>
      </c>
      <c r="R57" s="34">
        <f t="shared" si="25"/>
        <v>239.17</v>
      </c>
      <c r="S57" s="34"/>
      <c r="T57" s="36">
        <f t="shared" si="26"/>
        <v>853.02753526124343</v>
      </c>
      <c r="U57" s="34">
        <f t="shared" si="9"/>
        <v>10</v>
      </c>
      <c r="V57" s="75">
        <f t="shared" si="10"/>
        <v>1632.4919797050261</v>
      </c>
      <c r="W57" s="48"/>
      <c r="X57" s="20">
        <f t="shared" si="11"/>
        <v>0.79785744999999997</v>
      </c>
      <c r="Y57" s="24">
        <f t="shared" si="12"/>
        <v>1</v>
      </c>
      <c r="Z57" s="22">
        <f t="shared" si="33"/>
        <v>450</v>
      </c>
      <c r="AB57" s="25">
        <f t="shared" si="27"/>
        <v>220.13332001871308</v>
      </c>
      <c r="AC57" s="26">
        <f t="shared" si="28"/>
        <v>0</v>
      </c>
      <c r="AD57" s="26">
        <f t="shared" si="13"/>
        <v>485.84444444378261</v>
      </c>
      <c r="AE57" s="26"/>
      <c r="AF57" s="14"/>
      <c r="AH57" s="27">
        <f t="shared" si="14"/>
        <v>20.140038802180506</v>
      </c>
      <c r="AI57" s="27">
        <f t="shared" si="15"/>
        <v>44.45</v>
      </c>
      <c r="AJ57" s="27"/>
      <c r="AK57" s="14">
        <f t="shared" si="16"/>
        <v>239.16666667000001</v>
      </c>
      <c r="AM57" s="23">
        <f t="shared" si="29"/>
        <v>45109</v>
      </c>
      <c r="AN57" s="23">
        <f t="shared" si="30"/>
        <v>45109</v>
      </c>
      <c r="AO57" s="23">
        <f t="shared" si="31"/>
        <v>45109</v>
      </c>
      <c r="AQ57" s="16">
        <v>15</v>
      </c>
      <c r="AR57" s="23">
        <f t="shared" si="32"/>
        <v>45109</v>
      </c>
      <c r="AS57" s="23">
        <f t="shared" si="34"/>
        <v>45103</v>
      </c>
    </row>
    <row r="58" spans="1:45" x14ac:dyDescent="0.2">
      <c r="A58" s="40"/>
      <c r="B58" s="30">
        <v>16</v>
      </c>
      <c r="C58" s="31">
        <f t="shared" si="17"/>
        <v>45140</v>
      </c>
      <c r="D58" s="32">
        <f t="shared" si="4"/>
        <v>50245.544093005679</v>
      </c>
      <c r="E58" s="33">
        <f t="shared" si="5"/>
        <v>49623.505912594454</v>
      </c>
      <c r="F58" s="32">
        <f t="shared" si="6"/>
        <v>15245.544093005679</v>
      </c>
      <c r="G58" s="34">
        <f t="shared" si="2"/>
        <v>35000</v>
      </c>
      <c r="H58" s="33">
        <f t="shared" si="3"/>
        <v>14623.505912594455</v>
      </c>
      <c r="I58" s="34">
        <f t="shared" si="7"/>
        <v>622.03818041122452</v>
      </c>
      <c r="J58" s="34">
        <f t="shared" si="8"/>
        <v>0</v>
      </c>
      <c r="K58" s="34">
        <f t="shared" si="18"/>
        <v>622.03818041122452</v>
      </c>
      <c r="L58" s="34">
        <f t="shared" si="19"/>
        <v>697.47195829569955</v>
      </c>
      <c r="M58" s="34">
        <f t="shared" si="20"/>
        <v>211.62751385191694</v>
      </c>
      <c r="N58" s="34">
        <f t="shared" si="21"/>
        <v>485.84444444378261</v>
      </c>
      <c r="O58" s="34">
        <f t="shared" si="22"/>
        <v>19.361840998101879</v>
      </c>
      <c r="P58" s="34">
        <f t="shared" si="23"/>
        <v>44.45</v>
      </c>
      <c r="Q58" s="34">
        <f t="shared" si="24"/>
        <v>63.811840998101886</v>
      </c>
      <c r="R58" s="34">
        <f t="shared" si="25"/>
        <v>239.17</v>
      </c>
      <c r="S58" s="34"/>
      <c r="T58" s="36">
        <f t="shared" si="26"/>
        <v>853.02753526124332</v>
      </c>
      <c r="U58" s="34">
        <f t="shared" si="9"/>
        <v>10</v>
      </c>
      <c r="V58" s="75">
        <f t="shared" si="10"/>
        <v>1632.4919797050261</v>
      </c>
      <c r="W58" s="48"/>
      <c r="X58" s="20">
        <f t="shared" si="11"/>
        <v>0.78593566000000004</v>
      </c>
      <c r="Y58" s="24">
        <f t="shared" si="12"/>
        <v>1</v>
      </c>
      <c r="Z58" s="22">
        <f t="shared" si="33"/>
        <v>480</v>
      </c>
      <c r="AB58" s="25">
        <f t="shared" si="27"/>
        <v>211.62751385191694</v>
      </c>
      <c r="AC58" s="26">
        <f t="shared" si="28"/>
        <v>0</v>
      </c>
      <c r="AD58" s="26">
        <f t="shared" si="13"/>
        <v>502.15489229814449</v>
      </c>
      <c r="AE58" s="26"/>
      <c r="AF58" s="14"/>
      <c r="AH58" s="27">
        <f t="shared" si="14"/>
        <v>19.361840998101879</v>
      </c>
      <c r="AI58" s="27">
        <f t="shared" si="15"/>
        <v>44.45</v>
      </c>
      <c r="AJ58" s="27"/>
      <c r="AK58" s="14">
        <f t="shared" si="16"/>
        <v>239.16666667000001</v>
      </c>
      <c r="AM58" s="23">
        <f t="shared" si="29"/>
        <v>45140</v>
      </c>
      <c r="AN58" s="23">
        <f t="shared" si="30"/>
        <v>45140</v>
      </c>
      <c r="AO58" s="23">
        <f t="shared" si="31"/>
        <v>45140</v>
      </c>
      <c r="AQ58" s="16">
        <v>16</v>
      </c>
      <c r="AR58" s="23">
        <f t="shared" si="32"/>
        <v>45140</v>
      </c>
      <c r="AS58" s="23">
        <f t="shared" si="34"/>
        <v>45133</v>
      </c>
    </row>
    <row r="59" spans="1:45" x14ac:dyDescent="0.2">
      <c r="A59" s="40"/>
      <c r="B59" s="30">
        <v>17</v>
      </c>
      <c r="C59" s="31">
        <f t="shared" si="17"/>
        <v>45171</v>
      </c>
      <c r="D59" s="32">
        <f t="shared" si="4"/>
        <v>49623.505912594454</v>
      </c>
      <c r="E59" s="33">
        <f t="shared" si="5"/>
        <v>48992.043063761514</v>
      </c>
      <c r="F59" s="32">
        <f t="shared" si="6"/>
        <v>14623.505912594455</v>
      </c>
      <c r="G59" s="34">
        <f t="shared" si="2"/>
        <v>35000</v>
      </c>
      <c r="H59" s="33">
        <f t="shared" si="3"/>
        <v>13992.043063761512</v>
      </c>
      <c r="I59" s="34">
        <f t="shared" si="7"/>
        <v>631.46284883294322</v>
      </c>
      <c r="J59" s="34">
        <f t="shared" si="8"/>
        <v>0</v>
      </c>
      <c r="K59" s="34">
        <f t="shared" si="18"/>
        <v>631.46284883294322</v>
      </c>
      <c r="L59" s="34">
        <f t="shared" si="19"/>
        <v>688.83727836310266</v>
      </c>
      <c r="M59" s="34">
        <f t="shared" si="20"/>
        <v>202.99283391932002</v>
      </c>
      <c r="N59" s="34">
        <f t="shared" si="21"/>
        <v>485.84444444378261</v>
      </c>
      <c r="O59" s="34">
        <f t="shared" si="22"/>
        <v>18.57185250898025</v>
      </c>
      <c r="P59" s="34">
        <f t="shared" si="23"/>
        <v>44.45</v>
      </c>
      <c r="Q59" s="34">
        <f t="shared" si="24"/>
        <v>63.021852508980253</v>
      </c>
      <c r="R59" s="34">
        <f t="shared" si="25"/>
        <v>239.17</v>
      </c>
      <c r="S59" s="34"/>
      <c r="T59" s="36">
        <f t="shared" si="26"/>
        <v>853.02753526124343</v>
      </c>
      <c r="U59" s="34">
        <f t="shared" si="9"/>
        <v>10</v>
      </c>
      <c r="V59" s="75">
        <f t="shared" si="10"/>
        <v>1632.4919797050261</v>
      </c>
      <c r="W59" s="48"/>
      <c r="X59" s="20">
        <f t="shared" si="11"/>
        <v>0.77419199999999999</v>
      </c>
      <c r="Y59" s="24">
        <f t="shared" si="12"/>
        <v>1</v>
      </c>
      <c r="Z59" s="22">
        <f t="shared" si="33"/>
        <v>510</v>
      </c>
      <c r="AB59" s="25">
        <f t="shared" si="27"/>
        <v>202.99283391932002</v>
      </c>
      <c r="AC59" s="26">
        <f t="shared" si="28"/>
        <v>0</v>
      </c>
      <c r="AD59" s="26">
        <f t="shared" si="13"/>
        <v>502.15489229814449</v>
      </c>
      <c r="AE59" s="26"/>
      <c r="AF59" s="14"/>
      <c r="AH59" s="27">
        <f t="shared" si="14"/>
        <v>18.57185250898025</v>
      </c>
      <c r="AI59" s="27">
        <f t="shared" si="15"/>
        <v>44.45</v>
      </c>
      <c r="AJ59" s="27"/>
      <c r="AK59" s="14">
        <f t="shared" si="16"/>
        <v>239.16666667000001</v>
      </c>
      <c r="AM59" s="23">
        <f t="shared" si="29"/>
        <v>45171</v>
      </c>
      <c r="AN59" s="23">
        <f t="shared" si="30"/>
        <v>45171</v>
      </c>
      <c r="AO59" s="23">
        <f t="shared" si="31"/>
        <v>45171</v>
      </c>
      <c r="AQ59" s="16">
        <v>17</v>
      </c>
      <c r="AR59" s="23">
        <f t="shared" si="32"/>
        <v>45171</v>
      </c>
      <c r="AS59" s="23">
        <f t="shared" si="34"/>
        <v>45163</v>
      </c>
    </row>
    <row r="60" spans="1:45" x14ac:dyDescent="0.2">
      <c r="A60" s="40"/>
      <c r="B60" s="30">
        <v>18</v>
      </c>
      <c r="C60" s="31">
        <f t="shared" si="17"/>
        <v>45201</v>
      </c>
      <c r="D60" s="32">
        <f t="shared" si="4"/>
        <v>48992.043063761514</v>
      </c>
      <c r="E60" s="33">
        <f t="shared" si="5"/>
        <v>48351.012750810936</v>
      </c>
      <c r="F60" s="32">
        <f t="shared" si="6"/>
        <v>13992.043063761512</v>
      </c>
      <c r="G60" s="34">
        <f t="shared" si="2"/>
        <v>35000</v>
      </c>
      <c r="H60" s="33">
        <f t="shared" si="3"/>
        <v>13351.012750810933</v>
      </c>
      <c r="I60" s="34">
        <f t="shared" si="7"/>
        <v>641.03031295057963</v>
      </c>
      <c r="J60" s="34">
        <f t="shared" si="8"/>
        <v>0</v>
      </c>
      <c r="K60" s="34">
        <f t="shared" si="18"/>
        <v>641.03031295057963</v>
      </c>
      <c r="L60" s="34">
        <f t="shared" si="19"/>
        <v>680.07177206348342</v>
      </c>
      <c r="M60" s="34">
        <f t="shared" si="20"/>
        <v>194.22732761970076</v>
      </c>
      <c r="N60" s="34">
        <f t="shared" si="21"/>
        <v>485.84444444378261</v>
      </c>
      <c r="O60" s="34">
        <f t="shared" si="22"/>
        <v>17.769894690963046</v>
      </c>
      <c r="P60" s="34">
        <f t="shared" si="23"/>
        <v>44.45</v>
      </c>
      <c r="Q60" s="34">
        <f t="shared" si="24"/>
        <v>62.219894690963045</v>
      </c>
      <c r="R60" s="34">
        <f t="shared" si="25"/>
        <v>239.17</v>
      </c>
      <c r="S60" s="34"/>
      <c r="T60" s="36">
        <f t="shared" si="26"/>
        <v>853.02753526124343</v>
      </c>
      <c r="U60" s="34">
        <f t="shared" si="9"/>
        <v>10</v>
      </c>
      <c r="V60" s="75">
        <f t="shared" si="10"/>
        <v>1632.4919797050261</v>
      </c>
      <c r="W60" s="48"/>
      <c r="X60" s="20">
        <f t="shared" si="11"/>
        <v>0.76262381999999995</v>
      </c>
      <c r="Y60" s="24">
        <f t="shared" si="12"/>
        <v>1</v>
      </c>
      <c r="Z60" s="22">
        <f t="shared" si="33"/>
        <v>540</v>
      </c>
      <c r="AB60" s="25">
        <f t="shared" si="27"/>
        <v>194.22732761970076</v>
      </c>
      <c r="AC60" s="26">
        <f t="shared" si="28"/>
        <v>0</v>
      </c>
      <c r="AD60" s="26">
        <f t="shared" si="13"/>
        <v>485.84444444378261</v>
      </c>
      <c r="AE60" s="26"/>
      <c r="AF60" s="14"/>
      <c r="AH60" s="27">
        <f t="shared" si="14"/>
        <v>17.769894690963046</v>
      </c>
      <c r="AI60" s="27">
        <f t="shared" si="15"/>
        <v>44.45</v>
      </c>
      <c r="AJ60" s="27"/>
      <c r="AK60" s="14">
        <f t="shared" si="16"/>
        <v>239.16666667000001</v>
      </c>
      <c r="AM60" s="23">
        <f t="shared" si="29"/>
        <v>45201</v>
      </c>
      <c r="AN60" s="23">
        <f t="shared" si="30"/>
        <v>45201</v>
      </c>
      <c r="AO60" s="23">
        <f t="shared" si="31"/>
        <v>45201</v>
      </c>
      <c r="AQ60" s="16">
        <v>18</v>
      </c>
      <c r="AR60" s="23">
        <f t="shared" si="32"/>
        <v>45201</v>
      </c>
      <c r="AS60" s="23">
        <f t="shared" si="34"/>
        <v>45193</v>
      </c>
    </row>
    <row r="61" spans="1:45" x14ac:dyDescent="0.2">
      <c r="A61" s="40"/>
      <c r="B61" s="30">
        <v>19</v>
      </c>
      <c r="C61" s="31">
        <f t="shared" si="17"/>
        <v>45232</v>
      </c>
      <c r="D61" s="32">
        <f t="shared" si="4"/>
        <v>48351.012750810929</v>
      </c>
      <c r="E61" s="33">
        <f t="shared" si="5"/>
        <v>47700.27001451065</v>
      </c>
      <c r="F61" s="32">
        <f t="shared" si="6"/>
        <v>13351.012750810933</v>
      </c>
      <c r="G61" s="34">
        <f t="shared" si="2"/>
        <v>35000</v>
      </c>
      <c r="H61" s="33">
        <f t="shared" si="3"/>
        <v>12700.270014510656</v>
      </c>
      <c r="I61" s="34">
        <f t="shared" si="7"/>
        <v>650.74273630027767</v>
      </c>
      <c r="J61" s="34">
        <f t="shared" si="8"/>
        <v>0</v>
      </c>
      <c r="K61" s="34">
        <f t="shared" si="18"/>
        <v>650.74273630027767</v>
      </c>
      <c r="L61" s="34">
        <f t="shared" si="19"/>
        <v>671.17345721123183</v>
      </c>
      <c r="M61" s="34">
        <f t="shared" si="20"/>
        <v>185.32901276744926</v>
      </c>
      <c r="N61" s="34">
        <f t="shared" si="21"/>
        <v>485.84444444378261</v>
      </c>
      <c r="O61" s="34">
        <f t="shared" si="22"/>
        <v>16.955786193516456</v>
      </c>
      <c r="P61" s="34">
        <f t="shared" si="23"/>
        <v>44.45</v>
      </c>
      <c r="Q61" s="34">
        <f t="shared" si="24"/>
        <v>61.405786193516462</v>
      </c>
      <c r="R61" s="34">
        <f t="shared" si="25"/>
        <v>239.17</v>
      </c>
      <c r="S61" s="34"/>
      <c r="T61" s="36">
        <f t="shared" si="26"/>
        <v>853.02753526124343</v>
      </c>
      <c r="U61" s="34">
        <f t="shared" si="9"/>
        <v>10</v>
      </c>
      <c r="V61" s="75">
        <f t="shared" si="10"/>
        <v>1632.4919797050261</v>
      </c>
      <c r="W61" s="48"/>
      <c r="X61" s="20">
        <f t="shared" si="11"/>
        <v>0.75122849999999997</v>
      </c>
      <c r="Y61" s="24">
        <f t="shared" si="12"/>
        <v>1</v>
      </c>
      <c r="Z61" s="22">
        <f t="shared" si="33"/>
        <v>570</v>
      </c>
      <c r="AB61" s="25">
        <f t="shared" si="27"/>
        <v>185.32901276744926</v>
      </c>
      <c r="AC61" s="26">
        <f t="shared" si="28"/>
        <v>0</v>
      </c>
      <c r="AD61" s="26">
        <f t="shared" si="13"/>
        <v>502.15489229814449</v>
      </c>
      <c r="AE61" s="26"/>
      <c r="AF61" s="14"/>
      <c r="AH61" s="27">
        <f t="shared" si="14"/>
        <v>16.955786193516456</v>
      </c>
      <c r="AI61" s="27">
        <f t="shared" si="15"/>
        <v>44.45</v>
      </c>
      <c r="AJ61" s="27"/>
      <c r="AK61" s="14">
        <f t="shared" si="16"/>
        <v>239.16666667000001</v>
      </c>
      <c r="AM61" s="23">
        <f t="shared" si="29"/>
        <v>45232</v>
      </c>
      <c r="AN61" s="23">
        <f t="shared" si="30"/>
        <v>45232</v>
      </c>
      <c r="AO61" s="23">
        <f t="shared" si="31"/>
        <v>45232</v>
      </c>
      <c r="AQ61" s="16">
        <v>19</v>
      </c>
      <c r="AR61" s="23">
        <f t="shared" si="32"/>
        <v>45232</v>
      </c>
      <c r="AS61" s="23">
        <f t="shared" si="34"/>
        <v>45223</v>
      </c>
    </row>
    <row r="62" spans="1:45" x14ac:dyDescent="0.2">
      <c r="A62" s="40"/>
      <c r="B62" s="30">
        <v>20</v>
      </c>
      <c r="C62" s="31">
        <f t="shared" si="17"/>
        <v>45262</v>
      </c>
      <c r="D62" s="32">
        <f t="shared" si="4"/>
        <v>47700.270014510657</v>
      </c>
      <c r="E62" s="33">
        <f t="shared" si="5"/>
        <v>47039.667699312158</v>
      </c>
      <c r="F62" s="32">
        <f t="shared" si="6"/>
        <v>12700.270014510656</v>
      </c>
      <c r="G62" s="34">
        <f t="shared" si="2"/>
        <v>35000</v>
      </c>
      <c r="H62" s="33">
        <f t="shared" si="3"/>
        <v>12039.667699312155</v>
      </c>
      <c r="I62" s="34">
        <f t="shared" si="7"/>
        <v>660.60231519850129</v>
      </c>
      <c r="J62" s="34">
        <f t="shared" si="8"/>
        <v>0</v>
      </c>
      <c r="K62" s="34">
        <f t="shared" si="18"/>
        <v>660.60231519850129</v>
      </c>
      <c r="L62" s="34">
        <f t="shared" si="19"/>
        <v>662.14032158810892</v>
      </c>
      <c r="M62" s="34">
        <f t="shared" si="20"/>
        <v>176.29587714432631</v>
      </c>
      <c r="N62" s="34">
        <f t="shared" si="21"/>
        <v>485.84444444378261</v>
      </c>
      <c r="O62" s="34">
        <f t="shared" si="22"/>
        <v>16.129342918415759</v>
      </c>
      <c r="P62" s="34">
        <f t="shared" si="23"/>
        <v>44.45</v>
      </c>
      <c r="Q62" s="34">
        <f t="shared" si="24"/>
        <v>60.579342918415762</v>
      </c>
      <c r="R62" s="34">
        <f t="shared" si="25"/>
        <v>239.17</v>
      </c>
      <c r="S62" s="34"/>
      <c r="T62" s="36">
        <f t="shared" si="26"/>
        <v>853.02753526124332</v>
      </c>
      <c r="U62" s="34">
        <f t="shared" si="9"/>
        <v>10</v>
      </c>
      <c r="V62" s="75">
        <f t="shared" si="10"/>
        <v>1632.4919797050261</v>
      </c>
      <c r="W62" s="48"/>
      <c r="X62" s="20">
        <f t="shared" si="11"/>
        <v>0.74000345000000001</v>
      </c>
      <c r="Y62" s="24">
        <f t="shared" si="12"/>
        <v>1</v>
      </c>
      <c r="Z62" s="22">
        <f t="shared" si="33"/>
        <v>600</v>
      </c>
      <c r="AB62" s="25">
        <f t="shared" si="27"/>
        <v>176.29587714432631</v>
      </c>
      <c r="AC62" s="26">
        <f t="shared" si="28"/>
        <v>0</v>
      </c>
      <c r="AD62" s="26">
        <f t="shared" si="13"/>
        <v>485.84444444378261</v>
      </c>
      <c r="AE62" s="26"/>
      <c r="AF62" s="14"/>
      <c r="AH62" s="27">
        <f t="shared" si="14"/>
        <v>16.129342918415759</v>
      </c>
      <c r="AI62" s="27">
        <f t="shared" si="15"/>
        <v>44.45</v>
      </c>
      <c r="AJ62" s="27"/>
      <c r="AK62" s="14">
        <f t="shared" si="16"/>
        <v>239.16666667000001</v>
      </c>
      <c r="AM62" s="23">
        <f t="shared" si="29"/>
        <v>45262</v>
      </c>
      <c r="AN62" s="23">
        <f t="shared" si="30"/>
        <v>45262</v>
      </c>
      <c r="AO62" s="23">
        <f t="shared" si="31"/>
        <v>45262</v>
      </c>
      <c r="AQ62" s="16">
        <v>20</v>
      </c>
      <c r="AR62" s="23">
        <f t="shared" si="32"/>
        <v>45262</v>
      </c>
      <c r="AS62" s="23">
        <f t="shared" si="34"/>
        <v>45253</v>
      </c>
    </row>
    <row r="63" spans="1:45" x14ac:dyDescent="0.2">
      <c r="A63" s="40"/>
      <c r="B63" s="30">
        <v>21</v>
      </c>
      <c r="C63" s="31">
        <f t="shared" si="17"/>
        <v>45293</v>
      </c>
      <c r="D63" s="32">
        <f t="shared" si="4"/>
        <v>47039.667699312151</v>
      </c>
      <c r="E63" s="33">
        <f t="shared" si="5"/>
        <v>46369.056420073452</v>
      </c>
      <c r="F63" s="32">
        <f t="shared" si="6"/>
        <v>12039.667699312155</v>
      </c>
      <c r="G63" s="34">
        <f t="shared" si="2"/>
        <v>35000</v>
      </c>
      <c r="H63" s="33">
        <f t="shared" si="3"/>
        <v>11369.056420073457</v>
      </c>
      <c r="I63" s="34">
        <f t="shared" si="7"/>
        <v>670.61127923869833</v>
      </c>
      <c r="J63" s="34">
        <f t="shared" si="8"/>
        <v>0</v>
      </c>
      <c r="K63" s="34">
        <f t="shared" si="18"/>
        <v>670.61127923869833</v>
      </c>
      <c r="L63" s="34">
        <f t="shared" si="19"/>
        <v>652.97032248821347</v>
      </c>
      <c r="M63" s="34">
        <f t="shared" si="20"/>
        <v>167.12587804443083</v>
      </c>
      <c r="N63" s="34">
        <f t="shared" si="21"/>
        <v>485.84444444378261</v>
      </c>
      <c r="O63" s="34">
        <f t="shared" si="22"/>
        <v>15.290377978114327</v>
      </c>
      <c r="P63" s="34">
        <f t="shared" si="23"/>
        <v>44.45</v>
      </c>
      <c r="Q63" s="34">
        <f t="shared" si="24"/>
        <v>59.740377978114331</v>
      </c>
      <c r="R63" s="34">
        <f t="shared" si="25"/>
        <v>239.17</v>
      </c>
      <c r="S63" s="34"/>
      <c r="T63" s="36">
        <f t="shared" si="26"/>
        <v>853.02753526124343</v>
      </c>
      <c r="U63" s="34">
        <f t="shared" si="9"/>
        <v>10</v>
      </c>
      <c r="V63" s="75">
        <f t="shared" si="10"/>
        <v>1632.4919797050261</v>
      </c>
      <c r="W63" s="48"/>
      <c r="X63" s="20">
        <f t="shared" si="11"/>
        <v>0.72894612000000003</v>
      </c>
      <c r="Y63" s="24">
        <f t="shared" si="12"/>
        <v>1</v>
      </c>
      <c r="Z63" s="22">
        <f t="shared" si="33"/>
        <v>630</v>
      </c>
      <c r="AB63" s="25">
        <f t="shared" si="27"/>
        <v>167.12587804443083</v>
      </c>
      <c r="AC63" s="26">
        <f t="shared" si="28"/>
        <v>0</v>
      </c>
      <c r="AD63" s="26">
        <f t="shared" si="13"/>
        <v>502.15489229814449</v>
      </c>
      <c r="AE63" s="26"/>
      <c r="AF63" s="14"/>
      <c r="AH63" s="27">
        <f t="shared" si="14"/>
        <v>15.290377978114327</v>
      </c>
      <c r="AI63" s="27">
        <f t="shared" si="15"/>
        <v>44.45</v>
      </c>
      <c r="AJ63" s="27"/>
      <c r="AK63" s="14">
        <f t="shared" si="16"/>
        <v>239.16666667000001</v>
      </c>
      <c r="AM63" s="23">
        <f t="shared" si="29"/>
        <v>45293</v>
      </c>
      <c r="AN63" s="23">
        <f t="shared" si="30"/>
        <v>45293</v>
      </c>
      <c r="AO63" s="23">
        <f t="shared" si="31"/>
        <v>45293</v>
      </c>
      <c r="AQ63" s="16">
        <v>21</v>
      </c>
      <c r="AR63" s="23">
        <f t="shared" si="32"/>
        <v>45293</v>
      </c>
      <c r="AS63" s="23">
        <f t="shared" si="34"/>
        <v>45283</v>
      </c>
    </row>
    <row r="64" spans="1:45" x14ac:dyDescent="0.2">
      <c r="A64" s="40"/>
      <c r="B64" s="30">
        <v>22</v>
      </c>
      <c r="C64" s="31">
        <f t="shared" si="17"/>
        <v>45324</v>
      </c>
      <c r="D64" s="32">
        <f t="shared" si="4"/>
        <v>46369.056420073459</v>
      </c>
      <c r="E64" s="33">
        <f t="shared" si="5"/>
        <v>45688.284528277967</v>
      </c>
      <c r="F64" s="32">
        <f t="shared" si="6"/>
        <v>11369.056420073457</v>
      </c>
      <c r="G64" s="34">
        <f t="shared" si="2"/>
        <v>35000</v>
      </c>
      <c r="H64" s="33">
        <f t="shared" si="3"/>
        <v>10688.284528277969</v>
      </c>
      <c r="I64" s="34">
        <f t="shared" si="7"/>
        <v>680.7718917954885</v>
      </c>
      <c r="J64" s="34">
        <f t="shared" si="8"/>
        <v>0</v>
      </c>
      <c r="K64" s="34">
        <f t="shared" si="18"/>
        <v>680.7718917954885</v>
      </c>
      <c r="L64" s="34">
        <f t="shared" si="19"/>
        <v>643.66138625605572</v>
      </c>
      <c r="M64" s="34">
        <f t="shared" si="20"/>
        <v>157.81694181227306</v>
      </c>
      <c r="N64" s="34">
        <f t="shared" si="21"/>
        <v>485.84444444378261</v>
      </c>
      <c r="O64" s="34">
        <f t="shared" si="22"/>
        <v>14.438701653481855</v>
      </c>
      <c r="P64" s="34">
        <f t="shared" si="23"/>
        <v>44.45</v>
      </c>
      <c r="Q64" s="34">
        <f t="shared" si="24"/>
        <v>58.88870165348186</v>
      </c>
      <c r="R64" s="34">
        <f t="shared" si="25"/>
        <v>239.17</v>
      </c>
      <c r="S64" s="34"/>
      <c r="T64" s="36">
        <f t="shared" si="26"/>
        <v>853.02753526124343</v>
      </c>
      <c r="U64" s="34">
        <f t="shared" si="9"/>
        <v>10</v>
      </c>
      <c r="V64" s="75">
        <f t="shared" si="10"/>
        <v>1632.4919797050261</v>
      </c>
      <c r="W64" s="48"/>
      <c r="X64" s="20">
        <f t="shared" si="11"/>
        <v>0.71805401999999996</v>
      </c>
      <c r="Y64" s="24">
        <f t="shared" si="12"/>
        <v>1</v>
      </c>
      <c r="Z64" s="22">
        <f t="shared" si="33"/>
        <v>660</v>
      </c>
      <c r="AB64" s="25">
        <f t="shared" si="27"/>
        <v>157.81694181227306</v>
      </c>
      <c r="AC64" s="26">
        <f t="shared" si="28"/>
        <v>0</v>
      </c>
      <c r="AD64" s="26">
        <f t="shared" si="13"/>
        <v>502.15489229814449</v>
      </c>
      <c r="AE64" s="26"/>
      <c r="AF64" s="14"/>
      <c r="AH64" s="27">
        <f t="shared" si="14"/>
        <v>14.438701653481855</v>
      </c>
      <c r="AI64" s="27">
        <f t="shared" si="15"/>
        <v>44.45</v>
      </c>
      <c r="AJ64" s="27"/>
      <c r="AK64" s="14">
        <f t="shared" si="16"/>
        <v>239.16666667000001</v>
      </c>
      <c r="AM64" s="23">
        <f t="shared" si="29"/>
        <v>45324</v>
      </c>
      <c r="AN64" s="23">
        <f t="shared" si="30"/>
        <v>45324</v>
      </c>
      <c r="AO64" s="23">
        <f t="shared" si="31"/>
        <v>45324</v>
      </c>
      <c r="AQ64" s="16">
        <v>22</v>
      </c>
      <c r="AR64" s="23">
        <f t="shared" si="32"/>
        <v>45324</v>
      </c>
      <c r="AS64" s="23">
        <f t="shared" si="34"/>
        <v>45313</v>
      </c>
    </row>
    <row r="65" spans="1:45" x14ac:dyDescent="0.2">
      <c r="A65" s="40"/>
      <c r="B65" s="30">
        <v>23</v>
      </c>
      <c r="C65" s="31">
        <f t="shared" si="17"/>
        <v>45353</v>
      </c>
      <c r="D65" s="32">
        <f t="shared" si="4"/>
        <v>45688.284528277967</v>
      </c>
      <c r="E65" s="33">
        <f t="shared" si="5"/>
        <v>44997.198077741472</v>
      </c>
      <c r="F65" s="32">
        <f t="shared" si="6"/>
        <v>10688.284528277969</v>
      </c>
      <c r="G65" s="34">
        <f t="shared" si="2"/>
        <v>35000</v>
      </c>
      <c r="H65" s="33">
        <f t="shared" si="3"/>
        <v>9997.1980777414774</v>
      </c>
      <c r="I65" s="34">
        <f t="shared" si="7"/>
        <v>691.08645053649207</v>
      </c>
      <c r="J65" s="34">
        <f t="shared" si="8"/>
        <v>0</v>
      </c>
      <c r="K65" s="34">
        <f t="shared" si="18"/>
        <v>691.08645053649207</v>
      </c>
      <c r="L65" s="34">
        <f t="shared" si="19"/>
        <v>634.21140781763165</v>
      </c>
      <c r="M65" s="34">
        <f t="shared" si="20"/>
        <v>148.3669633738491</v>
      </c>
      <c r="N65" s="34">
        <f t="shared" si="21"/>
        <v>485.84444444378261</v>
      </c>
      <c r="O65" s="34">
        <f t="shared" si="22"/>
        <v>13.574121350902271</v>
      </c>
      <c r="P65" s="34">
        <f t="shared" si="23"/>
        <v>44.45</v>
      </c>
      <c r="Q65" s="34">
        <f t="shared" si="24"/>
        <v>58.024121350902277</v>
      </c>
      <c r="R65" s="34">
        <f t="shared" si="25"/>
        <v>239.17</v>
      </c>
      <c r="S65" s="34"/>
      <c r="T65" s="36">
        <f t="shared" si="26"/>
        <v>853.02753526124343</v>
      </c>
      <c r="U65" s="34">
        <f t="shared" si="9"/>
        <v>10</v>
      </c>
      <c r="V65" s="75">
        <f t="shared" si="10"/>
        <v>1632.4919797050261</v>
      </c>
      <c r="W65" s="48"/>
      <c r="X65" s="20">
        <f t="shared" si="11"/>
        <v>0.70732466999999999</v>
      </c>
      <c r="Y65" s="24">
        <f t="shared" si="12"/>
        <v>1</v>
      </c>
      <c r="Z65" s="22">
        <f t="shared" si="33"/>
        <v>690</v>
      </c>
      <c r="AB65" s="25">
        <f t="shared" si="27"/>
        <v>148.3669633738491</v>
      </c>
      <c r="AC65" s="26">
        <f t="shared" si="28"/>
        <v>0</v>
      </c>
      <c r="AD65" s="26">
        <f t="shared" si="13"/>
        <v>469.54148995735687</v>
      </c>
      <c r="AE65" s="26"/>
      <c r="AF65" s="14"/>
      <c r="AH65" s="27">
        <f t="shared" si="14"/>
        <v>13.574121350902271</v>
      </c>
      <c r="AI65" s="27">
        <f t="shared" si="15"/>
        <v>44.45</v>
      </c>
      <c r="AJ65" s="27"/>
      <c r="AK65" s="14">
        <f t="shared" si="16"/>
        <v>239.16666667000001</v>
      </c>
      <c r="AM65" s="23">
        <f t="shared" si="29"/>
        <v>45353</v>
      </c>
      <c r="AN65" s="23">
        <f t="shared" si="30"/>
        <v>45353</v>
      </c>
      <c r="AO65" s="23">
        <f t="shared" si="31"/>
        <v>45353</v>
      </c>
      <c r="AQ65" s="16">
        <v>23</v>
      </c>
      <c r="AR65" s="23">
        <f t="shared" si="32"/>
        <v>45353</v>
      </c>
      <c r="AS65" s="23">
        <f t="shared" si="34"/>
        <v>45343</v>
      </c>
    </row>
    <row r="66" spans="1:45" x14ac:dyDescent="0.2">
      <c r="A66" s="40"/>
      <c r="B66" s="30">
        <v>24</v>
      </c>
      <c r="C66" s="31">
        <f t="shared" si="17"/>
        <v>45384</v>
      </c>
      <c r="D66" s="32">
        <f t="shared" si="4"/>
        <v>44997.198077741479</v>
      </c>
      <c r="E66" s="33">
        <f t="shared" si="5"/>
        <v>44295.640789799567</v>
      </c>
      <c r="F66" s="32">
        <f t="shared" si="6"/>
        <v>9997.1980777414774</v>
      </c>
      <c r="G66" s="34">
        <f t="shared" si="2"/>
        <v>35000</v>
      </c>
      <c r="H66" s="33">
        <f t="shared" si="3"/>
        <v>9295.6407897995668</v>
      </c>
      <c r="I66" s="34">
        <f t="shared" si="7"/>
        <v>701.55728794191134</v>
      </c>
      <c r="J66" s="34">
        <f t="shared" si="8"/>
        <v>0</v>
      </c>
      <c r="K66" s="34">
        <f t="shared" si="18"/>
        <v>701.55728794191134</v>
      </c>
      <c r="L66" s="34">
        <f t="shared" si="19"/>
        <v>624.61825020439301</v>
      </c>
      <c r="M66" s="34">
        <f t="shared" si="20"/>
        <v>138.77380576061043</v>
      </c>
      <c r="N66" s="34">
        <f t="shared" si="21"/>
        <v>485.84444444378261</v>
      </c>
      <c r="O66" s="34">
        <f t="shared" si="22"/>
        <v>12.69644155872162</v>
      </c>
      <c r="P66" s="34">
        <f t="shared" si="23"/>
        <v>44.45</v>
      </c>
      <c r="Q66" s="34">
        <f t="shared" si="24"/>
        <v>57.146441558721619</v>
      </c>
      <c r="R66" s="34">
        <f t="shared" si="25"/>
        <v>239.17</v>
      </c>
      <c r="S66" s="34"/>
      <c r="T66" s="36">
        <f t="shared" si="26"/>
        <v>853.02753526124343</v>
      </c>
      <c r="U66" s="34">
        <f t="shared" si="9"/>
        <v>10</v>
      </c>
      <c r="V66" s="75">
        <f t="shared" si="10"/>
        <v>1632.4919797050261</v>
      </c>
      <c r="W66" s="48"/>
      <c r="X66" s="20">
        <f t="shared" si="11"/>
        <v>0.69675564000000001</v>
      </c>
      <c r="Y66" s="24">
        <f t="shared" si="12"/>
        <v>1</v>
      </c>
      <c r="Z66" s="22">
        <f t="shared" si="33"/>
        <v>720</v>
      </c>
      <c r="AB66" s="25">
        <f t="shared" si="27"/>
        <v>138.77380576061043</v>
      </c>
      <c r="AC66" s="26">
        <f t="shared" si="28"/>
        <v>0</v>
      </c>
      <c r="AD66" s="26">
        <f t="shared" si="13"/>
        <v>502.15489229814449</v>
      </c>
      <c r="AE66" s="26"/>
      <c r="AF66" s="14"/>
      <c r="AH66" s="27">
        <f t="shared" si="14"/>
        <v>12.69644155872162</v>
      </c>
      <c r="AI66" s="27">
        <f t="shared" si="15"/>
        <v>44.45</v>
      </c>
      <c r="AJ66" s="27"/>
      <c r="AK66" s="14">
        <f t="shared" si="16"/>
        <v>239.16666667000001</v>
      </c>
      <c r="AM66" s="23">
        <f t="shared" si="29"/>
        <v>45384</v>
      </c>
      <c r="AN66" s="23">
        <f t="shared" si="30"/>
        <v>45384</v>
      </c>
      <c r="AO66" s="23">
        <f t="shared" si="31"/>
        <v>45384</v>
      </c>
      <c r="AQ66" s="16">
        <v>24</v>
      </c>
      <c r="AR66" s="23">
        <f t="shared" si="32"/>
        <v>45384</v>
      </c>
      <c r="AS66" s="23">
        <f t="shared" si="34"/>
        <v>45373</v>
      </c>
    </row>
    <row r="67" spans="1:45" x14ac:dyDescent="0.2">
      <c r="A67" s="40"/>
      <c r="B67" s="30">
        <v>25</v>
      </c>
      <c r="C67" s="31">
        <f t="shared" si="17"/>
        <v>45414</v>
      </c>
      <c r="D67" s="32">
        <f t="shared" si="4"/>
        <v>44295.640789799567</v>
      </c>
      <c r="E67" s="33">
        <f t="shared" si="5"/>
        <v>43583.454017967582</v>
      </c>
      <c r="F67" s="32">
        <f t="shared" si="6"/>
        <v>9295.6407897995668</v>
      </c>
      <c r="G67" s="34">
        <f t="shared" si="2"/>
        <v>35000</v>
      </c>
      <c r="H67" s="33">
        <f t="shared" si="3"/>
        <v>8583.4540179675805</v>
      </c>
      <c r="I67" s="34">
        <f t="shared" si="7"/>
        <v>712.18677183198633</v>
      </c>
      <c r="J67" s="34">
        <f t="shared" si="8"/>
        <v>0</v>
      </c>
      <c r="K67" s="34">
        <f t="shared" si="18"/>
        <v>712.18677183198633</v>
      </c>
      <c r="L67" s="34">
        <f t="shared" si="19"/>
        <v>614.87974407000365</v>
      </c>
      <c r="M67" s="34">
        <f t="shared" si="20"/>
        <v>129.03529962622102</v>
      </c>
      <c r="N67" s="34">
        <f t="shared" si="21"/>
        <v>485.84444444378261</v>
      </c>
      <c r="O67" s="34">
        <f t="shared" si="22"/>
        <v>11.805463803036099</v>
      </c>
      <c r="P67" s="34">
        <f t="shared" si="23"/>
        <v>44.45</v>
      </c>
      <c r="Q67" s="34">
        <f t="shared" si="24"/>
        <v>56.255463803036101</v>
      </c>
      <c r="R67" s="34">
        <f t="shared" si="25"/>
        <v>239.17</v>
      </c>
      <c r="S67" s="34"/>
      <c r="T67" s="36">
        <f t="shared" si="26"/>
        <v>853.02753526124343</v>
      </c>
      <c r="U67" s="34">
        <f t="shared" si="9"/>
        <v>10</v>
      </c>
      <c r="V67" s="75">
        <f t="shared" si="10"/>
        <v>1632.4919797050261</v>
      </c>
      <c r="W67" s="48"/>
      <c r="X67" s="20">
        <f t="shared" si="11"/>
        <v>0.68634452999999995</v>
      </c>
      <c r="Y67" s="24">
        <f t="shared" si="12"/>
        <v>1</v>
      </c>
      <c r="Z67" s="22">
        <f t="shared" si="33"/>
        <v>750</v>
      </c>
      <c r="AB67" s="25">
        <f t="shared" si="27"/>
        <v>129.03529962622102</v>
      </c>
      <c r="AC67" s="26">
        <f t="shared" si="28"/>
        <v>0</v>
      </c>
      <c r="AD67" s="26">
        <f t="shared" si="13"/>
        <v>485.84444444378261</v>
      </c>
      <c r="AE67" s="26"/>
      <c r="AF67" s="14"/>
      <c r="AH67" s="27">
        <f t="shared" si="14"/>
        <v>11.805463803036099</v>
      </c>
      <c r="AI67" s="27">
        <f t="shared" si="15"/>
        <v>44.45</v>
      </c>
      <c r="AJ67" s="27"/>
      <c r="AK67" s="14">
        <f t="shared" si="16"/>
        <v>239.16666667000001</v>
      </c>
      <c r="AM67" s="23">
        <f t="shared" si="29"/>
        <v>45414</v>
      </c>
      <c r="AN67" s="23">
        <f t="shared" si="30"/>
        <v>45414</v>
      </c>
      <c r="AO67" s="23">
        <f t="shared" si="31"/>
        <v>45414</v>
      </c>
      <c r="AQ67" s="16">
        <v>25</v>
      </c>
      <c r="AR67" s="23">
        <f t="shared" si="32"/>
        <v>45414</v>
      </c>
      <c r="AS67" s="23">
        <f t="shared" si="34"/>
        <v>45403</v>
      </c>
    </row>
    <row r="68" spans="1:45" x14ac:dyDescent="0.2">
      <c r="A68" s="40"/>
      <c r="B68" s="30">
        <v>26</v>
      </c>
      <c r="C68" s="31">
        <f t="shared" si="17"/>
        <v>45445</v>
      </c>
      <c r="D68" s="32">
        <f t="shared" si="4"/>
        <v>43583.454017967582</v>
      </c>
      <c r="E68" s="33">
        <f t="shared" si="5"/>
        <v>42860.476712065145</v>
      </c>
      <c r="F68" s="32">
        <f t="shared" si="6"/>
        <v>8583.4540179675805</v>
      </c>
      <c r="G68" s="34">
        <f t="shared" si="2"/>
        <v>35000</v>
      </c>
      <c r="H68" s="33">
        <f t="shared" si="3"/>
        <v>7860.4767120651404</v>
      </c>
      <c r="I68" s="34">
        <f t="shared" si="7"/>
        <v>722.97730590244032</v>
      </c>
      <c r="J68" s="34">
        <f t="shared" si="8"/>
        <v>0</v>
      </c>
      <c r="K68" s="34">
        <f t="shared" si="18"/>
        <v>722.97730590244032</v>
      </c>
      <c r="L68" s="34">
        <f t="shared" si="19"/>
        <v>604.99368719977542</v>
      </c>
      <c r="M68" s="34">
        <f t="shared" si="20"/>
        <v>119.14924275599283</v>
      </c>
      <c r="N68" s="34">
        <f t="shared" si="21"/>
        <v>485.84444444378261</v>
      </c>
      <c r="O68" s="34">
        <f t="shared" si="22"/>
        <v>10.900986602810194</v>
      </c>
      <c r="P68" s="34">
        <f t="shared" si="23"/>
        <v>44.45</v>
      </c>
      <c r="Q68" s="34">
        <f t="shared" si="24"/>
        <v>55.350986602810195</v>
      </c>
      <c r="R68" s="34">
        <f t="shared" si="25"/>
        <v>239.17</v>
      </c>
      <c r="S68" s="34"/>
      <c r="T68" s="36">
        <f t="shared" si="26"/>
        <v>853.02753526124343</v>
      </c>
      <c r="U68" s="34">
        <f t="shared" si="9"/>
        <v>10</v>
      </c>
      <c r="V68" s="75">
        <f t="shared" si="10"/>
        <v>1632.4919797050261</v>
      </c>
      <c r="W68" s="48"/>
      <c r="X68" s="20">
        <f t="shared" si="11"/>
        <v>0.67608899</v>
      </c>
      <c r="Y68" s="24">
        <f t="shared" si="12"/>
        <v>1</v>
      </c>
      <c r="Z68" s="22">
        <f t="shared" si="33"/>
        <v>780</v>
      </c>
      <c r="AB68" s="25">
        <f t="shared" si="27"/>
        <v>119.14924275599283</v>
      </c>
      <c r="AC68" s="26">
        <f t="shared" si="28"/>
        <v>0</v>
      </c>
      <c r="AD68" s="26">
        <f t="shared" si="13"/>
        <v>502.15489229814449</v>
      </c>
      <c r="AE68" s="26"/>
      <c r="AF68" s="14"/>
      <c r="AH68" s="27">
        <f t="shared" si="14"/>
        <v>10.900986602810194</v>
      </c>
      <c r="AI68" s="27">
        <f t="shared" si="15"/>
        <v>44.45</v>
      </c>
      <c r="AJ68" s="27"/>
      <c r="AK68" s="14">
        <f t="shared" si="16"/>
        <v>239.16666667000001</v>
      </c>
      <c r="AM68" s="23">
        <f t="shared" si="29"/>
        <v>45445</v>
      </c>
      <c r="AN68" s="23">
        <f t="shared" si="30"/>
        <v>45445</v>
      </c>
      <c r="AO68" s="23">
        <f t="shared" si="31"/>
        <v>45445</v>
      </c>
      <c r="AQ68" s="16">
        <v>26</v>
      </c>
      <c r="AR68" s="23">
        <f t="shared" si="32"/>
        <v>45445</v>
      </c>
      <c r="AS68" s="23">
        <f t="shared" si="34"/>
        <v>45433</v>
      </c>
    </row>
    <row r="69" spans="1:45" x14ac:dyDescent="0.2">
      <c r="A69" s="40"/>
      <c r="B69" s="30">
        <v>27</v>
      </c>
      <c r="C69" s="31">
        <f t="shared" si="17"/>
        <v>45475</v>
      </c>
      <c r="D69" s="32">
        <f t="shared" si="4"/>
        <v>42860.476712065138</v>
      </c>
      <c r="E69" s="33">
        <f t="shared" si="5"/>
        <v>42126.545381797099</v>
      </c>
      <c r="F69" s="32">
        <f t="shared" si="6"/>
        <v>7860.4767120651404</v>
      </c>
      <c r="G69" s="34">
        <f t="shared" si="2"/>
        <v>35000</v>
      </c>
      <c r="H69" s="33">
        <f t="shared" si="3"/>
        <v>7126.5453817971002</v>
      </c>
      <c r="I69" s="34">
        <f t="shared" si="7"/>
        <v>733.93133026804014</v>
      </c>
      <c r="J69" s="34">
        <f t="shared" si="8"/>
        <v>0</v>
      </c>
      <c r="K69" s="34">
        <f t="shared" si="18"/>
        <v>733.93133026804014</v>
      </c>
      <c r="L69" s="34">
        <f t="shared" si="19"/>
        <v>594.9578440126711</v>
      </c>
      <c r="M69" s="34">
        <f t="shared" si="20"/>
        <v>109.11339956888847</v>
      </c>
      <c r="N69" s="34">
        <f t="shared" si="21"/>
        <v>485.84444444378261</v>
      </c>
      <c r="O69" s="34">
        <f t="shared" si="22"/>
        <v>9.9828054243148223</v>
      </c>
      <c r="P69" s="34">
        <f t="shared" si="23"/>
        <v>44.45</v>
      </c>
      <c r="Q69" s="34">
        <f t="shared" si="24"/>
        <v>54.432805424314822</v>
      </c>
      <c r="R69" s="34">
        <f t="shared" si="25"/>
        <v>239.17</v>
      </c>
      <c r="S69" s="34"/>
      <c r="T69" s="36">
        <f t="shared" si="26"/>
        <v>853.02753526124343</v>
      </c>
      <c r="U69" s="34">
        <f t="shared" si="9"/>
        <v>10</v>
      </c>
      <c r="V69" s="75">
        <f t="shared" si="10"/>
        <v>1632.4919797050261</v>
      </c>
      <c r="W69" s="48"/>
      <c r="X69" s="20">
        <f t="shared" si="11"/>
        <v>0.66598668999999999</v>
      </c>
      <c r="Y69" s="24">
        <f t="shared" si="12"/>
        <v>1</v>
      </c>
      <c r="Z69" s="22">
        <f t="shared" si="33"/>
        <v>810</v>
      </c>
      <c r="AB69" s="25">
        <f t="shared" si="27"/>
        <v>109.11339956888847</v>
      </c>
      <c r="AC69" s="26">
        <f t="shared" si="28"/>
        <v>0</v>
      </c>
      <c r="AD69" s="26">
        <f t="shared" si="13"/>
        <v>485.84444444378261</v>
      </c>
      <c r="AE69" s="26"/>
      <c r="AF69" s="14"/>
      <c r="AH69" s="27">
        <f t="shared" si="14"/>
        <v>9.9828054243148223</v>
      </c>
      <c r="AI69" s="27">
        <f t="shared" si="15"/>
        <v>44.45</v>
      </c>
      <c r="AJ69" s="27"/>
      <c r="AK69" s="14">
        <f t="shared" si="16"/>
        <v>239.16666667000001</v>
      </c>
      <c r="AM69" s="23">
        <f t="shared" si="29"/>
        <v>45475</v>
      </c>
      <c r="AN69" s="23">
        <f t="shared" si="30"/>
        <v>45475</v>
      </c>
      <c r="AO69" s="23">
        <f t="shared" si="31"/>
        <v>45475</v>
      </c>
      <c r="AQ69" s="16">
        <v>27</v>
      </c>
      <c r="AR69" s="23">
        <f t="shared" si="32"/>
        <v>45475</v>
      </c>
      <c r="AS69" s="23">
        <f t="shared" si="34"/>
        <v>45463</v>
      </c>
    </row>
    <row r="70" spans="1:45" x14ac:dyDescent="0.2">
      <c r="A70" s="40"/>
      <c r="B70" s="30">
        <v>28</v>
      </c>
      <c r="C70" s="31">
        <f t="shared" si="17"/>
        <v>45506</v>
      </c>
      <c r="D70" s="32">
        <f t="shared" si="4"/>
        <v>42126.545381797099</v>
      </c>
      <c r="E70" s="33">
        <f t="shared" si="5"/>
        <v>41381.494059782708</v>
      </c>
      <c r="F70" s="32">
        <f t="shared" si="6"/>
        <v>7126.5453817971002</v>
      </c>
      <c r="G70" s="34">
        <f t="shared" si="2"/>
        <v>35000</v>
      </c>
      <c r="H70" s="33">
        <f t="shared" si="3"/>
        <v>6381.4940597827108</v>
      </c>
      <c r="I70" s="34">
        <f t="shared" si="7"/>
        <v>745.05132201438971</v>
      </c>
      <c r="J70" s="34">
        <f t="shared" si="8"/>
        <v>0</v>
      </c>
      <c r="K70" s="34">
        <f t="shared" si="18"/>
        <v>745.05132201438971</v>
      </c>
      <c r="L70" s="34">
        <f t="shared" si="19"/>
        <v>584.76994505576124</v>
      </c>
      <c r="M70" s="34">
        <f t="shared" si="20"/>
        <v>98.925500611978634</v>
      </c>
      <c r="N70" s="34">
        <f t="shared" si="21"/>
        <v>485.84444444378261</v>
      </c>
      <c r="O70" s="34">
        <f t="shared" si="22"/>
        <v>9.0507126348751488</v>
      </c>
      <c r="P70" s="34">
        <f t="shared" si="23"/>
        <v>44.45</v>
      </c>
      <c r="Q70" s="34">
        <f t="shared" si="24"/>
        <v>53.50071263487515</v>
      </c>
      <c r="R70" s="34">
        <f t="shared" si="25"/>
        <v>239.17</v>
      </c>
      <c r="S70" s="34"/>
      <c r="T70" s="36">
        <f t="shared" si="26"/>
        <v>853.02753526124354</v>
      </c>
      <c r="U70" s="34">
        <f t="shared" si="9"/>
        <v>10</v>
      </c>
      <c r="V70" s="75">
        <f t="shared" si="10"/>
        <v>1632.4919797050261</v>
      </c>
      <c r="W70" s="48"/>
      <c r="X70" s="20">
        <f t="shared" si="11"/>
        <v>0.65603535000000002</v>
      </c>
      <c r="Y70" s="24">
        <f t="shared" si="12"/>
        <v>1</v>
      </c>
      <c r="Z70" s="22">
        <f t="shared" si="33"/>
        <v>840</v>
      </c>
      <c r="AB70" s="25">
        <f t="shared" si="27"/>
        <v>98.925500611978634</v>
      </c>
      <c r="AC70" s="26">
        <f t="shared" si="28"/>
        <v>0</v>
      </c>
      <c r="AD70" s="26">
        <f t="shared" si="13"/>
        <v>502.15489229814449</v>
      </c>
      <c r="AE70" s="26"/>
      <c r="AF70" s="14"/>
      <c r="AH70" s="27">
        <f t="shared" si="14"/>
        <v>9.0507126348751488</v>
      </c>
      <c r="AI70" s="27">
        <f t="shared" si="15"/>
        <v>44.45</v>
      </c>
      <c r="AJ70" s="27"/>
      <c r="AK70" s="14">
        <f t="shared" si="16"/>
        <v>239.16666667000001</v>
      </c>
      <c r="AM70" s="23">
        <f t="shared" si="29"/>
        <v>45506</v>
      </c>
      <c r="AN70" s="23">
        <f t="shared" si="30"/>
        <v>45506</v>
      </c>
      <c r="AO70" s="23">
        <f t="shared" si="31"/>
        <v>45506</v>
      </c>
      <c r="AQ70" s="16">
        <v>28</v>
      </c>
      <c r="AR70" s="23">
        <f t="shared" si="32"/>
        <v>45506</v>
      </c>
      <c r="AS70" s="23">
        <f t="shared" si="34"/>
        <v>45493</v>
      </c>
    </row>
    <row r="71" spans="1:45" x14ac:dyDescent="0.2">
      <c r="A71" s="40"/>
      <c r="B71" s="30">
        <v>29</v>
      </c>
      <c r="C71" s="31">
        <f t="shared" si="17"/>
        <v>45537</v>
      </c>
      <c r="D71" s="32">
        <f t="shared" si="4"/>
        <v>41381.494059782708</v>
      </c>
      <c r="E71" s="33">
        <f t="shared" si="5"/>
        <v>40625.154264024619</v>
      </c>
      <c r="F71" s="32">
        <f t="shared" si="6"/>
        <v>6381.4940597827108</v>
      </c>
      <c r="G71" s="34">
        <f t="shared" si="2"/>
        <v>35000</v>
      </c>
      <c r="H71" s="33">
        <f t="shared" si="3"/>
        <v>5625.1542640246253</v>
      </c>
      <c r="I71" s="34">
        <f t="shared" si="7"/>
        <v>756.33979575808576</v>
      </c>
      <c r="J71" s="34">
        <f t="shared" si="8"/>
        <v>0</v>
      </c>
      <c r="K71" s="34">
        <f t="shared" si="18"/>
        <v>756.33979575808576</v>
      </c>
      <c r="L71" s="34">
        <f t="shared" si="19"/>
        <v>574.42768649102254</v>
      </c>
      <c r="M71" s="34">
        <f t="shared" si="20"/>
        <v>88.583242047239949</v>
      </c>
      <c r="N71" s="34">
        <f t="shared" si="21"/>
        <v>485.84444444378261</v>
      </c>
      <c r="O71" s="34">
        <f t="shared" si="22"/>
        <v>8.1044974559176239</v>
      </c>
      <c r="P71" s="34">
        <f t="shared" si="23"/>
        <v>44.45</v>
      </c>
      <c r="Q71" s="34">
        <f t="shared" si="24"/>
        <v>52.554497455917627</v>
      </c>
      <c r="R71" s="34">
        <f t="shared" si="25"/>
        <v>239.17</v>
      </c>
      <c r="S71" s="34"/>
      <c r="T71" s="36">
        <f t="shared" si="26"/>
        <v>853.02753526124343</v>
      </c>
      <c r="U71" s="34">
        <f t="shared" si="9"/>
        <v>10</v>
      </c>
      <c r="V71" s="75">
        <f t="shared" si="10"/>
        <v>1632.4919797050261</v>
      </c>
      <c r="W71" s="48"/>
      <c r="X71" s="20">
        <f t="shared" si="11"/>
        <v>0.64623269000000005</v>
      </c>
      <c r="Y71" s="24">
        <f t="shared" si="12"/>
        <v>1</v>
      </c>
      <c r="Z71" s="22">
        <f t="shared" si="33"/>
        <v>870</v>
      </c>
      <c r="AB71" s="25">
        <f t="shared" si="27"/>
        <v>88.583242047239949</v>
      </c>
      <c r="AC71" s="26">
        <f t="shared" si="28"/>
        <v>0</v>
      </c>
      <c r="AD71" s="26">
        <f t="shared" si="13"/>
        <v>502.15489229814449</v>
      </c>
      <c r="AE71" s="26"/>
      <c r="AF71" s="14"/>
      <c r="AH71" s="27">
        <f t="shared" si="14"/>
        <v>8.1044974559176239</v>
      </c>
      <c r="AI71" s="27">
        <f t="shared" si="15"/>
        <v>44.45</v>
      </c>
      <c r="AJ71" s="27"/>
      <c r="AK71" s="14">
        <f t="shared" si="16"/>
        <v>239.16666667000001</v>
      </c>
      <c r="AM71" s="23">
        <f t="shared" si="29"/>
        <v>45537</v>
      </c>
      <c r="AN71" s="23">
        <f t="shared" si="30"/>
        <v>45537</v>
      </c>
      <c r="AO71" s="23">
        <f t="shared" si="31"/>
        <v>45537</v>
      </c>
      <c r="AQ71" s="16">
        <v>29</v>
      </c>
      <c r="AR71" s="23">
        <f t="shared" si="32"/>
        <v>45537</v>
      </c>
      <c r="AS71" s="23">
        <f t="shared" si="34"/>
        <v>45523</v>
      </c>
    </row>
    <row r="72" spans="1:45" x14ac:dyDescent="0.2">
      <c r="A72" s="40"/>
      <c r="B72" s="30">
        <v>30</v>
      </c>
      <c r="C72" s="31">
        <f t="shared" si="17"/>
        <v>45567</v>
      </c>
      <c r="D72" s="32">
        <f t="shared" si="4"/>
        <v>40625.154264024626</v>
      </c>
      <c r="E72" s="33">
        <f t="shared" si="5"/>
        <v>39857.354959809265</v>
      </c>
      <c r="F72" s="32">
        <f t="shared" si="6"/>
        <v>5625.1542640246253</v>
      </c>
      <c r="G72" s="34">
        <f t="shared" si="2"/>
        <v>35000</v>
      </c>
      <c r="H72" s="33">
        <f t="shared" si="3"/>
        <v>4857.354959809265</v>
      </c>
      <c r="I72" s="34">
        <f t="shared" si="7"/>
        <v>767.79930421536073</v>
      </c>
      <c r="J72" s="34">
        <f t="shared" si="8"/>
        <v>0</v>
      </c>
      <c r="K72" s="34">
        <f t="shared" si="18"/>
        <v>767.79930421536073</v>
      </c>
      <c r="L72" s="34">
        <f t="shared" si="19"/>
        <v>563.92872957435975</v>
      </c>
      <c r="M72" s="34">
        <f t="shared" si="20"/>
        <v>78.084285130577101</v>
      </c>
      <c r="N72" s="34">
        <f t="shared" si="21"/>
        <v>485.84444444378261</v>
      </c>
      <c r="O72" s="34">
        <f t="shared" si="22"/>
        <v>7.1439459153056157</v>
      </c>
      <c r="P72" s="34">
        <f t="shared" si="23"/>
        <v>44.45</v>
      </c>
      <c r="Q72" s="34">
        <f t="shared" si="24"/>
        <v>51.593945915305618</v>
      </c>
      <c r="R72" s="34">
        <f t="shared" si="25"/>
        <v>239.17</v>
      </c>
      <c r="S72" s="34"/>
      <c r="T72" s="36">
        <f t="shared" si="26"/>
        <v>853.02753526124343</v>
      </c>
      <c r="U72" s="34">
        <f t="shared" si="9"/>
        <v>10</v>
      </c>
      <c r="V72" s="75">
        <f t="shared" si="10"/>
        <v>1632.4919797050261</v>
      </c>
      <c r="W72" s="48"/>
      <c r="X72" s="20">
        <f t="shared" si="11"/>
        <v>0.63657651999999998</v>
      </c>
      <c r="Y72" s="24">
        <f t="shared" si="12"/>
        <v>1</v>
      </c>
      <c r="Z72" s="22">
        <f t="shared" si="33"/>
        <v>900</v>
      </c>
      <c r="AB72" s="25">
        <f t="shared" si="27"/>
        <v>78.084285130577101</v>
      </c>
      <c r="AC72" s="26">
        <f t="shared" si="28"/>
        <v>0</v>
      </c>
      <c r="AD72" s="26">
        <f t="shared" si="13"/>
        <v>485.84444444378261</v>
      </c>
      <c r="AE72" s="26"/>
      <c r="AF72" s="14"/>
      <c r="AH72" s="27">
        <f t="shared" si="14"/>
        <v>7.1439459153056157</v>
      </c>
      <c r="AI72" s="27">
        <f t="shared" si="15"/>
        <v>44.45</v>
      </c>
      <c r="AJ72" s="27"/>
      <c r="AK72" s="14">
        <f t="shared" si="16"/>
        <v>239.16666667000001</v>
      </c>
      <c r="AM72" s="23">
        <f t="shared" si="29"/>
        <v>45567</v>
      </c>
      <c r="AN72" s="23">
        <f t="shared" si="30"/>
        <v>45567</v>
      </c>
      <c r="AO72" s="23">
        <f t="shared" si="31"/>
        <v>45567</v>
      </c>
      <c r="AQ72" s="16">
        <v>30</v>
      </c>
      <c r="AR72" s="23">
        <f t="shared" si="32"/>
        <v>45567</v>
      </c>
      <c r="AS72" s="23">
        <f t="shared" si="34"/>
        <v>45553</v>
      </c>
    </row>
    <row r="73" spans="1:45" x14ac:dyDescent="0.2">
      <c r="A73" s="40"/>
      <c r="B73" s="30">
        <v>31</v>
      </c>
      <c r="C73" s="31">
        <f t="shared" si="17"/>
        <v>45598</v>
      </c>
      <c r="D73" s="32">
        <f t="shared" si="4"/>
        <v>39857.354959809265</v>
      </c>
      <c r="E73" s="33">
        <f t="shared" si="5"/>
        <v>39077.922521029926</v>
      </c>
      <c r="F73" s="32">
        <f t="shared" si="6"/>
        <v>4857.354959809265</v>
      </c>
      <c r="G73" s="34">
        <f t="shared" si="2"/>
        <v>35000</v>
      </c>
      <c r="H73" s="33">
        <f t="shared" si="3"/>
        <v>4077.922521029926</v>
      </c>
      <c r="I73" s="34">
        <f t="shared" si="7"/>
        <v>779.43243877933901</v>
      </c>
      <c r="J73" s="34">
        <f t="shared" si="8"/>
        <v>0</v>
      </c>
      <c r="K73" s="34">
        <f t="shared" si="18"/>
        <v>779.43243877933901</v>
      </c>
      <c r="L73" s="34">
        <f t="shared" si="19"/>
        <v>553.27070012673414</v>
      </c>
      <c r="M73" s="34">
        <f t="shared" si="20"/>
        <v>67.426255682951549</v>
      </c>
      <c r="N73" s="34">
        <f t="shared" si="21"/>
        <v>485.84444444378261</v>
      </c>
      <c r="O73" s="34">
        <f t="shared" si="22"/>
        <v>6.1688407989528811</v>
      </c>
      <c r="P73" s="34">
        <f t="shared" si="23"/>
        <v>44.45</v>
      </c>
      <c r="Q73" s="34">
        <f t="shared" si="24"/>
        <v>50.618840798952881</v>
      </c>
      <c r="R73" s="34">
        <f t="shared" si="25"/>
        <v>239.17</v>
      </c>
      <c r="S73" s="34"/>
      <c r="T73" s="36">
        <f t="shared" si="26"/>
        <v>853.02753526124343</v>
      </c>
      <c r="U73" s="34">
        <f t="shared" si="9"/>
        <v>10</v>
      </c>
      <c r="V73" s="75">
        <f t="shared" si="10"/>
        <v>1632.4919797050261</v>
      </c>
      <c r="W73" s="48"/>
      <c r="X73" s="20">
        <f t="shared" si="11"/>
        <v>0.62706461999999996</v>
      </c>
      <c r="Y73" s="24">
        <f t="shared" si="12"/>
        <v>1</v>
      </c>
      <c r="Z73" s="22">
        <f t="shared" si="33"/>
        <v>930</v>
      </c>
      <c r="AB73" s="25">
        <f t="shared" si="27"/>
        <v>67.426255682951549</v>
      </c>
      <c r="AC73" s="26">
        <f t="shared" si="28"/>
        <v>0</v>
      </c>
      <c r="AD73" s="26">
        <f t="shared" si="13"/>
        <v>502.15489229814449</v>
      </c>
      <c r="AE73" s="26"/>
      <c r="AF73" s="14"/>
      <c r="AH73" s="27">
        <f t="shared" si="14"/>
        <v>6.1688407989528811</v>
      </c>
      <c r="AI73" s="27">
        <f t="shared" si="15"/>
        <v>44.45</v>
      </c>
      <c r="AJ73" s="27"/>
      <c r="AK73" s="14">
        <f t="shared" si="16"/>
        <v>239.16666667000001</v>
      </c>
      <c r="AM73" s="23">
        <f t="shared" si="29"/>
        <v>45598</v>
      </c>
      <c r="AN73" s="23">
        <f t="shared" si="30"/>
        <v>45598</v>
      </c>
      <c r="AO73" s="23">
        <f t="shared" si="31"/>
        <v>45598</v>
      </c>
      <c r="AQ73" s="16">
        <v>31</v>
      </c>
      <c r="AR73" s="23">
        <f t="shared" si="32"/>
        <v>45598</v>
      </c>
      <c r="AS73" s="23">
        <f t="shared" si="34"/>
        <v>45583</v>
      </c>
    </row>
    <row r="74" spans="1:45" x14ac:dyDescent="0.2">
      <c r="A74" s="40"/>
      <c r="B74" s="30">
        <v>32</v>
      </c>
      <c r="C74" s="31">
        <f t="shared" si="17"/>
        <v>45628</v>
      </c>
      <c r="D74" s="32">
        <f t="shared" si="4"/>
        <v>39077.922521029926</v>
      </c>
      <c r="E74" s="33">
        <f t="shared" si="5"/>
        <v>38286.68069092388</v>
      </c>
      <c r="F74" s="32">
        <f t="shared" si="6"/>
        <v>4077.922521029926</v>
      </c>
      <c r="G74" s="34">
        <f t="shared" ref="G74:G105" si="35">IF(B74&lt;=$E$26,$E$15,0)</f>
        <v>35000</v>
      </c>
      <c r="H74" s="33">
        <f t="shared" ref="H74:H105" si="36">+F74-I74</f>
        <v>3286.6806909238835</v>
      </c>
      <c r="I74" s="34">
        <f t="shared" si="7"/>
        <v>791.24183010604247</v>
      </c>
      <c r="J74" s="34">
        <f t="shared" si="8"/>
        <v>0</v>
      </c>
      <c r="K74" s="34">
        <f t="shared" si="18"/>
        <v>791.24183010604247</v>
      </c>
      <c r="L74" s="34">
        <f t="shared" si="19"/>
        <v>542.4511879972797</v>
      </c>
      <c r="M74" s="34">
        <f t="shared" si="20"/>
        <v>56.606743553497076</v>
      </c>
      <c r="N74" s="34">
        <f t="shared" si="21"/>
        <v>485.84444444378261</v>
      </c>
      <c r="O74" s="34">
        <f t="shared" si="22"/>
        <v>5.1789616017039046</v>
      </c>
      <c r="P74" s="34">
        <f t="shared" si="23"/>
        <v>44.45</v>
      </c>
      <c r="Q74" s="34">
        <f t="shared" si="24"/>
        <v>49.628961601703907</v>
      </c>
      <c r="R74" s="34">
        <f t="shared" si="25"/>
        <v>239.17</v>
      </c>
      <c r="S74" s="34"/>
      <c r="T74" s="36">
        <f t="shared" si="26"/>
        <v>853.02753526124343</v>
      </c>
      <c r="U74" s="34">
        <f t="shared" si="9"/>
        <v>10</v>
      </c>
      <c r="V74" s="75">
        <f t="shared" si="10"/>
        <v>1632.4919797050261</v>
      </c>
      <c r="W74" s="48"/>
      <c r="X74" s="20">
        <f t="shared" si="11"/>
        <v>0.61769485999999996</v>
      </c>
      <c r="Y74" s="24">
        <f t="shared" si="12"/>
        <v>1</v>
      </c>
      <c r="Z74" s="22">
        <f t="shared" si="33"/>
        <v>960</v>
      </c>
      <c r="AB74" s="25">
        <f t="shared" si="27"/>
        <v>56.606743553497076</v>
      </c>
      <c r="AC74" s="26">
        <f t="shared" si="28"/>
        <v>0</v>
      </c>
      <c r="AD74" s="26">
        <f t="shared" si="13"/>
        <v>485.84444444378261</v>
      </c>
      <c r="AE74" s="26"/>
      <c r="AF74" s="14"/>
      <c r="AH74" s="27">
        <f t="shared" si="14"/>
        <v>5.1789616017039046</v>
      </c>
      <c r="AI74" s="27">
        <f t="shared" si="15"/>
        <v>44.45</v>
      </c>
      <c r="AJ74" s="27"/>
      <c r="AK74" s="14">
        <f t="shared" si="16"/>
        <v>239.16666667000001</v>
      </c>
      <c r="AM74" s="23">
        <f t="shared" si="29"/>
        <v>45628</v>
      </c>
      <c r="AN74" s="23">
        <f t="shared" si="30"/>
        <v>45628</v>
      </c>
      <c r="AO74" s="23">
        <f t="shared" si="31"/>
        <v>45628</v>
      </c>
      <c r="AQ74" s="16">
        <v>32</v>
      </c>
      <c r="AR74" s="23">
        <f t="shared" si="32"/>
        <v>45628</v>
      </c>
      <c r="AS74" s="23">
        <f t="shared" si="34"/>
        <v>45613</v>
      </c>
    </row>
    <row r="75" spans="1:45" x14ac:dyDescent="0.2">
      <c r="A75" s="40"/>
      <c r="B75" s="30">
        <v>33</v>
      </c>
      <c r="C75" s="31">
        <f t="shared" si="17"/>
        <v>45659</v>
      </c>
      <c r="D75" s="32">
        <f t="shared" si="4"/>
        <v>38286.68069092388</v>
      </c>
      <c r="E75" s="33">
        <f t="shared" si="5"/>
        <v>37483.45054221461</v>
      </c>
      <c r="F75" s="32">
        <f t="shared" ref="F75:F106" si="37">+H74</f>
        <v>3286.6806909238835</v>
      </c>
      <c r="G75" s="34">
        <f t="shared" si="35"/>
        <v>35000</v>
      </c>
      <c r="H75" s="33">
        <f t="shared" si="36"/>
        <v>2483.4505422146112</v>
      </c>
      <c r="I75" s="34">
        <f t="shared" ref="I75:I106" si="38">+IF(B75&lt;=$F$26,$E$27-M75-O75,0)</f>
        <v>803.23014870927238</v>
      </c>
      <c r="J75" s="34">
        <f t="shared" ref="J75:J106" si="39">+IF(B75=$E$26,G75,0)</f>
        <v>0</v>
      </c>
      <c r="K75" s="34">
        <f t="shared" si="18"/>
        <v>803.23014870927238</v>
      </c>
      <c r="L75" s="34">
        <f t="shared" si="19"/>
        <v>531.46774651828355</v>
      </c>
      <c r="M75" s="34">
        <f t="shared" si="20"/>
        <v>45.623302074500977</v>
      </c>
      <c r="N75" s="34">
        <f t="shared" si="21"/>
        <v>485.84444444378261</v>
      </c>
      <c r="O75" s="34">
        <f t="shared" si="22"/>
        <v>4.1740844774700259</v>
      </c>
      <c r="P75" s="34">
        <f t="shared" si="23"/>
        <v>44.45</v>
      </c>
      <c r="Q75" s="34">
        <f t="shared" si="24"/>
        <v>48.624084477470028</v>
      </c>
      <c r="R75" s="34">
        <f t="shared" si="25"/>
        <v>239.17</v>
      </c>
      <c r="S75" s="34"/>
      <c r="T75" s="36">
        <f t="shared" si="26"/>
        <v>853.02753526124343</v>
      </c>
      <c r="U75" s="34">
        <f t="shared" ref="U75:U106" si="40">+IF(B75&lt;=$E$26,$E$29,0)</f>
        <v>10</v>
      </c>
      <c r="V75" s="75">
        <f t="shared" si="10"/>
        <v>1632.4919797050261</v>
      </c>
      <c r="W75" s="48"/>
      <c r="X75" s="20">
        <f t="shared" si="11"/>
        <v>0.60846509999999998</v>
      </c>
      <c r="Y75" s="24">
        <f t="shared" ref="Y75:Y106" si="41">VLOOKUP(MONTH(C75),$Y$17:$Z$34,2,0)</f>
        <v>1</v>
      </c>
      <c r="Z75" s="22">
        <f t="shared" si="33"/>
        <v>990</v>
      </c>
      <c r="AB75" s="25">
        <f t="shared" si="27"/>
        <v>45.623302074500977</v>
      </c>
      <c r="AC75" s="26">
        <f t="shared" si="28"/>
        <v>0</v>
      </c>
      <c r="AD75" s="26">
        <f t="shared" ref="AD75:AD106" si="42">G75*((1+$E$24)^((C75-C74)/360)-1)+AC74*((1+$E$24)^((C75-C74)/360)-0)</f>
        <v>502.15489229814449</v>
      </c>
      <c r="AE75" s="26"/>
      <c r="AF75" s="14"/>
      <c r="AH75" s="27">
        <f t="shared" ref="AH75:AH106" si="43">IF(B75&lt;=$F$26,F75*((1+$G$25)^(Z75-Z74) -1),0)</f>
        <v>4.1740844774700259</v>
      </c>
      <c r="AI75" s="27">
        <f t="shared" ref="AI75:AI106" si="44">ROUND(IF(B75&lt;=$E$26,G75*((1+$G$25)^(Z75-Z74) -1),0),2)</f>
        <v>44.45</v>
      </c>
      <c r="AJ75" s="27"/>
      <c r="AK75" s="14">
        <f t="shared" ref="AK75:AK106" si="45">IF(B75&lt;=$E$26,ROUND($E$33*$E$9/12,8),0)</f>
        <v>239.16666667000001</v>
      </c>
      <c r="AM75" s="23">
        <f t="shared" si="29"/>
        <v>45659</v>
      </c>
      <c r="AN75" s="23">
        <f t="shared" si="30"/>
        <v>45659</v>
      </c>
      <c r="AO75" s="23">
        <f t="shared" si="31"/>
        <v>45659</v>
      </c>
      <c r="AQ75" s="16">
        <v>33</v>
      </c>
      <c r="AR75" s="23">
        <f t="shared" si="32"/>
        <v>45659</v>
      </c>
      <c r="AS75" s="23">
        <f t="shared" si="34"/>
        <v>45643</v>
      </c>
    </row>
    <row r="76" spans="1:45" x14ac:dyDescent="0.2">
      <c r="A76" s="40"/>
      <c r="B76" s="30">
        <v>34</v>
      </c>
      <c r="C76" s="31">
        <f t="shared" ref="C76:C108" si="46">IF($E$17="Año Base 360",AS76,AR76)</f>
        <v>45690</v>
      </c>
      <c r="D76" s="32">
        <f t="shared" si="4"/>
        <v>37483.45054221461</v>
      </c>
      <c r="E76" s="33">
        <f t="shared" si="5"/>
        <v>36668.050436650105</v>
      </c>
      <c r="F76" s="32">
        <f t="shared" si="37"/>
        <v>2483.4505422146112</v>
      </c>
      <c r="G76" s="34">
        <f t="shared" si="35"/>
        <v>35000</v>
      </c>
      <c r="H76" s="33">
        <f t="shared" si="36"/>
        <v>1668.0504366501052</v>
      </c>
      <c r="I76" s="34">
        <f t="shared" si="38"/>
        <v>815.40010556450602</v>
      </c>
      <c r="J76" s="34">
        <f t="shared" si="39"/>
        <v>0</v>
      </c>
      <c r="K76" s="34">
        <f t="shared" si="18"/>
        <v>815.40010556450602</v>
      </c>
      <c r="L76" s="34">
        <f t="shared" si="19"/>
        <v>520.31789195191004</v>
      </c>
      <c r="M76" s="34">
        <f t="shared" si="20"/>
        <v>34.473447508127414</v>
      </c>
      <c r="N76" s="34">
        <f t="shared" si="21"/>
        <v>485.84444444378261</v>
      </c>
      <c r="O76" s="34">
        <f t="shared" si="22"/>
        <v>3.1539821886100583</v>
      </c>
      <c r="P76" s="34">
        <f t="shared" si="23"/>
        <v>44.45</v>
      </c>
      <c r="Q76" s="34">
        <f t="shared" si="24"/>
        <v>47.603982188610061</v>
      </c>
      <c r="R76" s="34">
        <f t="shared" si="25"/>
        <v>239.17</v>
      </c>
      <c r="S76" s="34"/>
      <c r="T76" s="36">
        <f t="shared" si="26"/>
        <v>853.02753526124343</v>
      </c>
      <c r="U76" s="34">
        <f t="shared" si="40"/>
        <v>10</v>
      </c>
      <c r="V76" s="75">
        <f t="shared" si="10"/>
        <v>1632.4919797050261</v>
      </c>
      <c r="W76" s="48"/>
      <c r="X76" s="20">
        <f t="shared" si="11"/>
        <v>0.59937326000000002</v>
      </c>
      <c r="Y76" s="24">
        <f t="shared" si="41"/>
        <v>1</v>
      </c>
      <c r="Z76" s="22">
        <f t="shared" si="33"/>
        <v>1020</v>
      </c>
      <c r="AB76" s="25">
        <f t="shared" si="27"/>
        <v>34.473447508127414</v>
      </c>
      <c r="AC76" s="26">
        <f t="shared" si="28"/>
        <v>0</v>
      </c>
      <c r="AD76" s="26">
        <f t="shared" si="42"/>
        <v>502.15489229814449</v>
      </c>
      <c r="AE76" s="26"/>
      <c r="AF76" s="14"/>
      <c r="AH76" s="27">
        <f t="shared" si="43"/>
        <v>3.1539821886100583</v>
      </c>
      <c r="AI76" s="27">
        <f t="shared" si="44"/>
        <v>44.45</v>
      </c>
      <c r="AJ76" s="27"/>
      <c r="AK76" s="14">
        <f t="shared" si="45"/>
        <v>239.16666667000001</v>
      </c>
      <c r="AM76" s="23">
        <f t="shared" ref="AM76:AM107" si="47">IF($E$17="Mensual",C75+30,DATE(YEAR(C75),MONTH(C75)+1,DAY(C75)))</f>
        <v>45690</v>
      </c>
      <c r="AN76" s="23">
        <f t="shared" ref="AN76:AN107" si="48">IF($L$17=31,DATE(YEAR(AN75),MONTH(AN75)+2,0),AM76)</f>
        <v>45690</v>
      </c>
      <c r="AO76" s="23">
        <f t="shared" ref="AO76:AO107" si="49">IF(AND(MONTH(AO75)+1=2,OR($L$17=29,$L$17=30)),DATE(YEAR(AO75),MONTH(AO75)+2,0),DATE(YEAR(AO75),MONTH(AO75)+1,DAY($L$17)))</f>
        <v>45690</v>
      </c>
      <c r="AQ76" s="16">
        <v>34</v>
      </c>
      <c r="AR76" s="23">
        <f t="shared" ref="AR76:AR107" si="50">IF(DAY(EOMONTH(C75,1))&lt;$L$17,DATE(YEAR(C75),MONTH(C75)+2,0),DATE(YEAR(C75),MONTH(C75)+1,DAY($L$17)))</f>
        <v>45690</v>
      </c>
      <c r="AS76" s="23">
        <f t="shared" si="34"/>
        <v>45673</v>
      </c>
    </row>
    <row r="77" spans="1:45" x14ac:dyDescent="0.2">
      <c r="A77" s="40"/>
      <c r="B77" s="30">
        <v>35</v>
      </c>
      <c r="C77" s="31">
        <f t="shared" si="46"/>
        <v>45718</v>
      </c>
      <c r="D77" s="32">
        <f t="shared" si="4"/>
        <v>36668.050436650105</v>
      </c>
      <c r="E77" s="33">
        <f t="shared" si="5"/>
        <v>35840.295983928161</v>
      </c>
      <c r="F77" s="32">
        <f t="shared" si="37"/>
        <v>1668.0504366501052</v>
      </c>
      <c r="G77" s="34">
        <f t="shared" si="35"/>
        <v>35000</v>
      </c>
      <c r="H77" s="33">
        <f t="shared" si="36"/>
        <v>840.29598392816376</v>
      </c>
      <c r="I77" s="34">
        <f t="shared" si="38"/>
        <v>827.75445272194145</v>
      </c>
      <c r="J77" s="34">
        <f t="shared" si="39"/>
        <v>0</v>
      </c>
      <c r="K77" s="34">
        <f t="shared" si="18"/>
        <v>827.75445272194145</v>
      </c>
      <c r="L77" s="34">
        <f t="shared" si="19"/>
        <v>508.99910292854059</v>
      </c>
      <c r="M77" s="34">
        <f t="shared" si="20"/>
        <v>23.154658484758006</v>
      </c>
      <c r="N77" s="34">
        <f t="shared" si="21"/>
        <v>485.84444444378261</v>
      </c>
      <c r="O77" s="34">
        <f t="shared" si="22"/>
        <v>2.1184240545439557</v>
      </c>
      <c r="P77" s="34">
        <f t="shared" si="23"/>
        <v>44.45</v>
      </c>
      <c r="Q77" s="34">
        <f t="shared" si="24"/>
        <v>46.568424054543961</v>
      </c>
      <c r="R77" s="34">
        <f t="shared" si="25"/>
        <v>239.17</v>
      </c>
      <c r="S77" s="34"/>
      <c r="T77" s="36">
        <f t="shared" si="26"/>
        <v>853.02753526124343</v>
      </c>
      <c r="U77" s="34">
        <f t="shared" si="40"/>
        <v>10</v>
      </c>
      <c r="V77" s="75">
        <f t="shared" si="10"/>
        <v>1632.4919797050261</v>
      </c>
      <c r="W77" s="48"/>
      <c r="X77" s="20">
        <f t="shared" si="11"/>
        <v>0.59041726999999999</v>
      </c>
      <c r="Y77" s="24">
        <f t="shared" si="41"/>
        <v>1</v>
      </c>
      <c r="Z77" s="22">
        <f t="shared" si="33"/>
        <v>1050</v>
      </c>
      <c r="AB77" s="25">
        <f t="shared" si="27"/>
        <v>23.154658484758006</v>
      </c>
      <c r="AC77" s="26">
        <f t="shared" si="28"/>
        <v>0</v>
      </c>
      <c r="AD77" s="26">
        <f t="shared" si="42"/>
        <v>453.24602539625226</v>
      </c>
      <c r="AE77" s="26"/>
      <c r="AF77" s="14"/>
      <c r="AH77" s="27">
        <f t="shared" si="43"/>
        <v>2.1184240545439557</v>
      </c>
      <c r="AI77" s="27">
        <f t="shared" si="44"/>
        <v>44.45</v>
      </c>
      <c r="AJ77" s="27"/>
      <c r="AK77" s="14">
        <f t="shared" si="45"/>
        <v>239.16666667000001</v>
      </c>
      <c r="AM77" s="23">
        <f t="shared" si="47"/>
        <v>45718</v>
      </c>
      <c r="AN77" s="23">
        <f t="shared" si="48"/>
        <v>45718</v>
      </c>
      <c r="AO77" s="23">
        <f t="shared" si="49"/>
        <v>45718</v>
      </c>
      <c r="AQ77" s="16">
        <v>35</v>
      </c>
      <c r="AR77" s="23">
        <f t="shared" si="50"/>
        <v>45718</v>
      </c>
      <c r="AS77" s="23">
        <f t="shared" si="34"/>
        <v>45703</v>
      </c>
    </row>
    <row r="78" spans="1:45" x14ac:dyDescent="0.2">
      <c r="A78" s="40"/>
      <c r="B78" s="30">
        <v>36</v>
      </c>
      <c r="C78" s="31">
        <f t="shared" si="46"/>
        <v>45749</v>
      </c>
      <c r="D78" s="32">
        <f t="shared" si="4"/>
        <v>35840.295983928161</v>
      </c>
      <c r="E78" s="33">
        <f t="shared" si="5"/>
        <v>34999.999999999331</v>
      </c>
      <c r="F78" s="32">
        <f t="shared" si="37"/>
        <v>840.29598392816376</v>
      </c>
      <c r="G78" s="34">
        <f t="shared" si="35"/>
        <v>35000</v>
      </c>
      <c r="H78" s="33">
        <f t="shared" si="36"/>
        <v>-6.6927441366715357E-10</v>
      </c>
      <c r="I78" s="34">
        <f t="shared" si="38"/>
        <v>840.29598392883304</v>
      </c>
      <c r="J78" s="34">
        <f t="shared" si="39"/>
        <v>0</v>
      </c>
      <c r="K78" s="34">
        <f t="shared" si="18"/>
        <v>840.29598392883304</v>
      </c>
      <c r="L78" s="34">
        <f t="shared" si="19"/>
        <v>497.50881987660512</v>
      </c>
      <c r="M78" s="34">
        <f t="shared" si="20"/>
        <v>11.664375432822501</v>
      </c>
      <c r="N78" s="34">
        <f t="shared" si="21"/>
        <v>485.84444444378261</v>
      </c>
      <c r="O78" s="34">
        <f t="shared" si="22"/>
        <v>1.0671758995879228</v>
      </c>
      <c r="P78" s="34">
        <f t="shared" si="23"/>
        <v>44.45</v>
      </c>
      <c r="Q78" s="34">
        <f t="shared" si="24"/>
        <v>45.517175899587926</v>
      </c>
      <c r="R78" s="34">
        <f t="shared" si="25"/>
        <v>239.17</v>
      </c>
      <c r="S78" s="34"/>
      <c r="T78" s="36">
        <f t="shared" si="26"/>
        <v>853.02753526124343</v>
      </c>
      <c r="U78" s="34">
        <f t="shared" si="40"/>
        <v>10</v>
      </c>
      <c r="V78" s="75">
        <f t="shared" si="10"/>
        <v>1632.4919797050261</v>
      </c>
      <c r="W78" s="48"/>
      <c r="X78" s="20">
        <f t="shared" si="11"/>
        <v>0.58159510000000003</v>
      </c>
      <c r="Y78" s="24">
        <f t="shared" si="41"/>
        <v>1</v>
      </c>
      <c r="Z78" s="22">
        <f t="shared" si="33"/>
        <v>1080</v>
      </c>
      <c r="AB78" s="25">
        <f t="shared" si="27"/>
        <v>11.664375432822501</v>
      </c>
      <c r="AC78" s="26">
        <f t="shared" si="28"/>
        <v>0</v>
      </c>
      <c r="AD78" s="26">
        <f t="shared" si="42"/>
        <v>502.15489229814449</v>
      </c>
      <c r="AE78" s="26"/>
      <c r="AF78" s="14"/>
      <c r="AH78" s="27">
        <f t="shared" si="43"/>
        <v>1.0671758995879228</v>
      </c>
      <c r="AI78" s="27">
        <f t="shared" si="44"/>
        <v>44.45</v>
      </c>
      <c r="AJ78" s="27"/>
      <c r="AK78" s="14">
        <f t="shared" si="45"/>
        <v>239.16666667000001</v>
      </c>
      <c r="AM78" s="23">
        <f t="shared" si="47"/>
        <v>45749</v>
      </c>
      <c r="AN78" s="23">
        <f t="shared" si="48"/>
        <v>45749</v>
      </c>
      <c r="AO78" s="23">
        <f t="shared" si="49"/>
        <v>45749</v>
      </c>
      <c r="AQ78" s="16">
        <v>36</v>
      </c>
      <c r="AR78" s="23">
        <f t="shared" si="50"/>
        <v>45749</v>
      </c>
      <c r="AS78" s="23">
        <f t="shared" si="34"/>
        <v>45733</v>
      </c>
    </row>
    <row r="79" spans="1:45" x14ac:dyDescent="0.2">
      <c r="A79" s="40"/>
      <c r="B79" s="30">
        <v>37</v>
      </c>
      <c r="C79" s="31">
        <f t="shared" si="46"/>
        <v>45779</v>
      </c>
      <c r="D79" s="32">
        <f t="shared" si="4"/>
        <v>34999.999999999331</v>
      </c>
      <c r="E79" s="33">
        <f t="shared" si="5"/>
        <v>-6.6938810050487518E-10</v>
      </c>
      <c r="F79" s="32">
        <f t="shared" si="37"/>
        <v>-6.6927441366715357E-10</v>
      </c>
      <c r="G79" s="34">
        <f t="shared" si="35"/>
        <v>35000</v>
      </c>
      <c r="H79" s="33">
        <f t="shared" si="36"/>
        <v>-6.6927441366715357E-10</v>
      </c>
      <c r="I79" s="34">
        <f t="shared" si="38"/>
        <v>0</v>
      </c>
      <c r="J79" s="34">
        <f t="shared" si="39"/>
        <v>35000</v>
      </c>
      <c r="K79" s="34">
        <f t="shared" si="18"/>
        <v>35000</v>
      </c>
      <c r="L79" s="34">
        <f t="shared" si="19"/>
        <v>485.84444444377334</v>
      </c>
      <c r="M79" s="34">
        <f t="shared" si="20"/>
        <v>-9.2903788402054481E-12</v>
      </c>
      <c r="N79" s="34">
        <f t="shared" si="21"/>
        <v>485.84444444378261</v>
      </c>
      <c r="O79" s="34">
        <f t="shared" si="22"/>
        <v>0</v>
      </c>
      <c r="P79" s="34">
        <f t="shared" si="23"/>
        <v>44.45</v>
      </c>
      <c r="Q79" s="34">
        <f t="shared" si="24"/>
        <v>44.45</v>
      </c>
      <c r="R79" s="34">
        <f t="shared" si="25"/>
        <v>239.17</v>
      </c>
      <c r="S79" s="34"/>
      <c r="T79" s="36">
        <f t="shared" si="26"/>
        <v>-9.2903788402054481E-12</v>
      </c>
      <c r="U79" s="34">
        <f t="shared" si="40"/>
        <v>10</v>
      </c>
      <c r="V79" s="75">
        <f>+IF(B79&lt;=$F$26,$E$27+N79+P79+R79+U79,K79+L79+Q79+R79+U79)</f>
        <v>35779.464444443765</v>
      </c>
      <c r="W79" s="48"/>
      <c r="X79" s="20">
        <f t="shared" si="11"/>
        <v>0</v>
      </c>
      <c r="Y79" s="24">
        <f t="shared" si="41"/>
        <v>1</v>
      </c>
      <c r="Z79" s="22">
        <f t="shared" si="33"/>
        <v>1110</v>
      </c>
      <c r="AB79" s="25">
        <f t="shared" si="27"/>
        <v>-9.2903788402054481E-12</v>
      </c>
      <c r="AC79" s="26">
        <f t="shared" si="28"/>
        <v>0</v>
      </c>
      <c r="AD79" s="26">
        <f t="shared" si="42"/>
        <v>485.84444444378261</v>
      </c>
      <c r="AE79" s="26"/>
      <c r="AF79" s="14"/>
      <c r="AH79" s="27">
        <f t="shared" si="43"/>
        <v>0</v>
      </c>
      <c r="AI79" s="27">
        <f t="shared" si="44"/>
        <v>44.45</v>
      </c>
      <c r="AJ79" s="27"/>
      <c r="AK79" s="14">
        <f t="shared" si="45"/>
        <v>239.16666667000001</v>
      </c>
      <c r="AM79" s="23">
        <f t="shared" si="47"/>
        <v>45779</v>
      </c>
      <c r="AN79" s="23">
        <f t="shared" si="48"/>
        <v>45779</v>
      </c>
      <c r="AO79" s="23">
        <f t="shared" si="49"/>
        <v>45779</v>
      </c>
      <c r="AQ79" s="16">
        <v>37</v>
      </c>
      <c r="AR79" s="23">
        <f t="shared" si="50"/>
        <v>45779</v>
      </c>
      <c r="AS79" s="23">
        <f t="shared" si="34"/>
        <v>45763</v>
      </c>
    </row>
    <row r="80" spans="1:45" x14ac:dyDescent="0.2">
      <c r="A80" s="40"/>
      <c r="B80" s="30">
        <v>38</v>
      </c>
      <c r="C80" s="31">
        <f t="shared" si="46"/>
        <v>45810</v>
      </c>
      <c r="D80" s="32">
        <f t="shared" si="4"/>
        <v>-6.6927441366715357E-10</v>
      </c>
      <c r="E80" s="33">
        <f t="shared" si="5"/>
        <v>-6.6927441366715357E-10</v>
      </c>
      <c r="F80" s="32">
        <f t="shared" si="37"/>
        <v>-6.6927441366715357E-10</v>
      </c>
      <c r="G80" s="34">
        <f t="shared" si="35"/>
        <v>0</v>
      </c>
      <c r="H80" s="33">
        <f t="shared" si="36"/>
        <v>-6.6927441366715357E-10</v>
      </c>
      <c r="I80" s="34">
        <f t="shared" si="38"/>
        <v>0</v>
      </c>
      <c r="J80" s="34">
        <f t="shared" si="39"/>
        <v>0</v>
      </c>
      <c r="K80" s="34">
        <f t="shared" si="18"/>
        <v>0</v>
      </c>
      <c r="L80" s="34">
        <f t="shared" si="19"/>
        <v>-9.2903788402054481E-12</v>
      </c>
      <c r="M80" s="34">
        <f t="shared" si="20"/>
        <v>-9.2903788402054481E-12</v>
      </c>
      <c r="N80" s="34">
        <f t="shared" si="21"/>
        <v>0</v>
      </c>
      <c r="O80" s="34">
        <f t="shared" si="22"/>
        <v>0</v>
      </c>
      <c r="P80" s="34">
        <f t="shared" si="23"/>
        <v>0</v>
      </c>
      <c r="Q80" s="34">
        <f t="shared" si="24"/>
        <v>0</v>
      </c>
      <c r="R80" s="34">
        <f t="shared" si="25"/>
        <v>0</v>
      </c>
      <c r="S80" s="34"/>
      <c r="T80" s="36">
        <f t="shared" si="26"/>
        <v>-9.2903788402054481E-12</v>
      </c>
      <c r="U80" s="34">
        <f t="shared" si="40"/>
        <v>0</v>
      </c>
      <c r="V80" s="75">
        <f t="shared" ref="V80:V114" si="51">+IF(B80&lt;=$F$26,$E$27+N80+P80+R80+U80,SUM(J80:R80)+U80)</f>
        <v>-1.8580757680410896E-11</v>
      </c>
      <c r="W80" s="48"/>
      <c r="X80" s="20">
        <f t="shared" ref="X80:X114" si="52">IF(B80&lt;=$E$26,ROUND((1+$G$26)^(-Z80),8),0)</f>
        <v>0</v>
      </c>
      <c r="Y80" s="24">
        <f t="shared" si="41"/>
        <v>1</v>
      </c>
      <c r="Z80" s="22">
        <f t="shared" si="33"/>
        <v>1140</v>
      </c>
      <c r="AB80" s="25">
        <f t="shared" si="27"/>
        <v>-9.2903788402054481E-12</v>
      </c>
      <c r="AC80" s="26">
        <f t="shared" si="28"/>
        <v>0</v>
      </c>
      <c r="AD80" s="26">
        <f t="shared" si="42"/>
        <v>0</v>
      </c>
      <c r="AE80" s="26"/>
      <c r="AF80" s="14"/>
      <c r="AH80" s="27">
        <f t="shared" si="43"/>
        <v>0</v>
      </c>
      <c r="AI80" s="27">
        <f t="shared" si="44"/>
        <v>0</v>
      </c>
      <c r="AJ80" s="27"/>
      <c r="AK80" s="14">
        <f t="shared" si="45"/>
        <v>0</v>
      </c>
      <c r="AM80" s="23">
        <f t="shared" si="47"/>
        <v>45810</v>
      </c>
      <c r="AN80" s="23">
        <f t="shared" si="48"/>
        <v>45810</v>
      </c>
      <c r="AO80" s="23">
        <f t="shared" si="49"/>
        <v>45810</v>
      </c>
      <c r="AQ80" s="16">
        <v>38</v>
      </c>
      <c r="AR80" s="23">
        <f t="shared" si="50"/>
        <v>45810</v>
      </c>
      <c r="AS80" s="23">
        <f t="shared" si="34"/>
        <v>45793</v>
      </c>
    </row>
    <row r="81" spans="1:45" x14ac:dyDescent="0.2">
      <c r="A81" s="40"/>
      <c r="B81" s="30">
        <v>39</v>
      </c>
      <c r="C81" s="31">
        <f t="shared" si="46"/>
        <v>45840</v>
      </c>
      <c r="D81" s="32">
        <f t="shared" si="4"/>
        <v>-6.6927441366715357E-10</v>
      </c>
      <c r="E81" s="33">
        <f t="shared" si="5"/>
        <v>-6.6927441366715357E-10</v>
      </c>
      <c r="F81" s="32">
        <f t="shared" si="37"/>
        <v>-6.6927441366715357E-10</v>
      </c>
      <c r="G81" s="34">
        <f t="shared" si="35"/>
        <v>0</v>
      </c>
      <c r="H81" s="33">
        <f t="shared" si="36"/>
        <v>-6.6927441366715357E-10</v>
      </c>
      <c r="I81" s="34">
        <f t="shared" si="38"/>
        <v>0</v>
      </c>
      <c r="J81" s="34">
        <f t="shared" si="39"/>
        <v>0</v>
      </c>
      <c r="K81" s="34">
        <f t="shared" si="18"/>
        <v>0</v>
      </c>
      <c r="L81" s="34">
        <f t="shared" si="19"/>
        <v>-9.2903788402054481E-12</v>
      </c>
      <c r="M81" s="34">
        <f t="shared" si="20"/>
        <v>-9.2903788402054481E-12</v>
      </c>
      <c r="N81" s="34">
        <f t="shared" si="21"/>
        <v>0</v>
      </c>
      <c r="O81" s="34">
        <f t="shared" si="22"/>
        <v>0</v>
      </c>
      <c r="P81" s="34">
        <f t="shared" si="23"/>
        <v>0</v>
      </c>
      <c r="Q81" s="34">
        <f t="shared" si="24"/>
        <v>0</v>
      </c>
      <c r="R81" s="34">
        <f t="shared" si="25"/>
        <v>0</v>
      </c>
      <c r="S81" s="34"/>
      <c r="T81" s="36">
        <f t="shared" si="26"/>
        <v>-9.2903788402054481E-12</v>
      </c>
      <c r="U81" s="34">
        <f t="shared" si="40"/>
        <v>0</v>
      </c>
      <c r="V81" s="75">
        <f t="shared" si="51"/>
        <v>-1.8580757680410896E-11</v>
      </c>
      <c r="W81" s="48"/>
      <c r="X81" s="20">
        <f t="shared" si="52"/>
        <v>0</v>
      </c>
      <c r="Y81" s="24">
        <f t="shared" si="41"/>
        <v>1</v>
      </c>
      <c r="Z81" s="22">
        <f t="shared" si="33"/>
        <v>1170</v>
      </c>
      <c r="AB81" s="25">
        <f t="shared" si="27"/>
        <v>-9.2903788402054481E-12</v>
      </c>
      <c r="AC81" s="26">
        <f t="shared" si="28"/>
        <v>0</v>
      </c>
      <c r="AD81" s="26">
        <f t="shared" si="42"/>
        <v>0</v>
      </c>
      <c r="AE81" s="26"/>
      <c r="AF81" s="14"/>
      <c r="AH81" s="27">
        <f t="shared" si="43"/>
        <v>0</v>
      </c>
      <c r="AI81" s="27">
        <f t="shared" si="44"/>
        <v>0</v>
      </c>
      <c r="AJ81" s="27"/>
      <c r="AK81" s="14">
        <f t="shared" si="45"/>
        <v>0</v>
      </c>
      <c r="AM81" s="23">
        <f t="shared" si="47"/>
        <v>45840</v>
      </c>
      <c r="AN81" s="23">
        <f t="shared" si="48"/>
        <v>45840</v>
      </c>
      <c r="AO81" s="23">
        <f t="shared" si="49"/>
        <v>45840</v>
      </c>
      <c r="AQ81" s="16">
        <v>39</v>
      </c>
      <c r="AR81" s="23">
        <f t="shared" si="50"/>
        <v>45840</v>
      </c>
      <c r="AS81" s="23">
        <f t="shared" si="34"/>
        <v>45823</v>
      </c>
    </row>
    <row r="82" spans="1:45" x14ac:dyDescent="0.2">
      <c r="A82" s="40"/>
      <c r="B82" s="30">
        <v>40</v>
      </c>
      <c r="C82" s="31">
        <f t="shared" si="46"/>
        <v>45871</v>
      </c>
      <c r="D82" s="32">
        <f t="shared" si="4"/>
        <v>-6.6927441366715357E-10</v>
      </c>
      <c r="E82" s="33">
        <f t="shared" si="5"/>
        <v>-6.6927441366715357E-10</v>
      </c>
      <c r="F82" s="32">
        <f t="shared" si="37"/>
        <v>-6.6927441366715357E-10</v>
      </c>
      <c r="G82" s="34">
        <f t="shared" si="35"/>
        <v>0</v>
      </c>
      <c r="H82" s="33">
        <f t="shared" si="36"/>
        <v>-6.6927441366715357E-10</v>
      </c>
      <c r="I82" s="34">
        <f t="shared" si="38"/>
        <v>0</v>
      </c>
      <c r="J82" s="34">
        <f t="shared" si="39"/>
        <v>0</v>
      </c>
      <c r="K82" s="34">
        <f t="shared" si="18"/>
        <v>0</v>
      </c>
      <c r="L82" s="34">
        <f t="shared" si="19"/>
        <v>-9.2903788402054481E-12</v>
      </c>
      <c r="M82" s="34">
        <f t="shared" si="20"/>
        <v>-9.2903788402054481E-12</v>
      </c>
      <c r="N82" s="34">
        <f t="shared" si="21"/>
        <v>0</v>
      </c>
      <c r="O82" s="34">
        <f t="shared" si="22"/>
        <v>0</v>
      </c>
      <c r="P82" s="34">
        <f t="shared" si="23"/>
        <v>0</v>
      </c>
      <c r="Q82" s="34">
        <f t="shared" si="24"/>
        <v>0</v>
      </c>
      <c r="R82" s="34">
        <f t="shared" si="25"/>
        <v>0</v>
      </c>
      <c r="S82" s="34"/>
      <c r="T82" s="36">
        <f t="shared" si="26"/>
        <v>-9.2903788402054481E-12</v>
      </c>
      <c r="U82" s="34">
        <f t="shared" si="40"/>
        <v>0</v>
      </c>
      <c r="V82" s="75">
        <f t="shared" si="51"/>
        <v>-1.8580757680410896E-11</v>
      </c>
      <c r="W82" s="48"/>
      <c r="X82" s="20">
        <f t="shared" si="52"/>
        <v>0</v>
      </c>
      <c r="Y82" s="24">
        <f t="shared" si="41"/>
        <v>1</v>
      </c>
      <c r="Z82" s="22">
        <f t="shared" si="33"/>
        <v>1200</v>
      </c>
      <c r="AB82" s="25">
        <f t="shared" si="27"/>
        <v>-9.2903788402054481E-12</v>
      </c>
      <c r="AC82" s="26">
        <f t="shared" si="28"/>
        <v>0</v>
      </c>
      <c r="AD82" s="26">
        <f t="shared" si="42"/>
        <v>0</v>
      </c>
      <c r="AE82" s="26"/>
      <c r="AF82" s="14"/>
      <c r="AH82" s="27">
        <f t="shared" si="43"/>
        <v>0</v>
      </c>
      <c r="AI82" s="27">
        <f t="shared" si="44"/>
        <v>0</v>
      </c>
      <c r="AJ82" s="27"/>
      <c r="AK82" s="14">
        <f t="shared" si="45"/>
        <v>0</v>
      </c>
      <c r="AM82" s="23">
        <f t="shared" si="47"/>
        <v>45871</v>
      </c>
      <c r="AN82" s="23">
        <f t="shared" si="48"/>
        <v>45871</v>
      </c>
      <c r="AO82" s="23">
        <f t="shared" si="49"/>
        <v>45871</v>
      </c>
      <c r="AQ82" s="16">
        <v>40</v>
      </c>
      <c r="AR82" s="23">
        <f t="shared" si="50"/>
        <v>45871</v>
      </c>
      <c r="AS82" s="23">
        <f t="shared" si="34"/>
        <v>45853</v>
      </c>
    </row>
    <row r="83" spans="1:45" x14ac:dyDescent="0.2">
      <c r="A83" s="40"/>
      <c r="B83" s="30">
        <v>41</v>
      </c>
      <c r="C83" s="31">
        <f t="shared" si="46"/>
        <v>45902</v>
      </c>
      <c r="D83" s="32">
        <f t="shared" si="4"/>
        <v>-6.6927441366715357E-10</v>
      </c>
      <c r="E83" s="33">
        <f t="shared" si="5"/>
        <v>-6.6927441366715357E-10</v>
      </c>
      <c r="F83" s="32">
        <f t="shared" si="37"/>
        <v>-6.6927441366715357E-10</v>
      </c>
      <c r="G83" s="34">
        <f t="shared" si="35"/>
        <v>0</v>
      </c>
      <c r="H83" s="33">
        <f t="shared" si="36"/>
        <v>-6.6927441366715357E-10</v>
      </c>
      <c r="I83" s="34">
        <f t="shared" si="38"/>
        <v>0</v>
      </c>
      <c r="J83" s="34">
        <f t="shared" si="39"/>
        <v>0</v>
      </c>
      <c r="K83" s="34">
        <f t="shared" si="18"/>
        <v>0</v>
      </c>
      <c r="L83" s="34">
        <f t="shared" si="19"/>
        <v>-9.2903788402054481E-12</v>
      </c>
      <c r="M83" s="34">
        <f t="shared" si="20"/>
        <v>-9.2903788402054481E-12</v>
      </c>
      <c r="N83" s="34">
        <f t="shared" si="21"/>
        <v>0</v>
      </c>
      <c r="O83" s="34">
        <f t="shared" si="22"/>
        <v>0</v>
      </c>
      <c r="P83" s="34">
        <f t="shared" si="23"/>
        <v>0</v>
      </c>
      <c r="Q83" s="34">
        <f t="shared" si="24"/>
        <v>0</v>
      </c>
      <c r="R83" s="34">
        <f t="shared" si="25"/>
        <v>0</v>
      </c>
      <c r="S83" s="34"/>
      <c r="T83" s="36">
        <f t="shared" si="26"/>
        <v>-9.2903788402054481E-12</v>
      </c>
      <c r="U83" s="34">
        <f t="shared" si="40"/>
        <v>0</v>
      </c>
      <c r="V83" s="75">
        <f t="shared" si="51"/>
        <v>-1.8580757680410896E-11</v>
      </c>
      <c r="W83" s="48"/>
      <c r="X83" s="20">
        <f t="shared" si="52"/>
        <v>0</v>
      </c>
      <c r="Y83" s="24">
        <f t="shared" si="41"/>
        <v>1</v>
      </c>
      <c r="Z83" s="22">
        <f t="shared" si="33"/>
        <v>1230</v>
      </c>
      <c r="AB83" s="25">
        <f t="shared" si="27"/>
        <v>-9.2903788402054481E-12</v>
      </c>
      <c r="AC83" s="26">
        <f t="shared" si="28"/>
        <v>0</v>
      </c>
      <c r="AD83" s="26">
        <f t="shared" si="42"/>
        <v>0</v>
      </c>
      <c r="AE83" s="26"/>
      <c r="AF83" s="14"/>
      <c r="AH83" s="27">
        <f t="shared" si="43"/>
        <v>0</v>
      </c>
      <c r="AI83" s="27">
        <f t="shared" si="44"/>
        <v>0</v>
      </c>
      <c r="AJ83" s="27"/>
      <c r="AK83" s="14">
        <f t="shared" si="45"/>
        <v>0</v>
      </c>
      <c r="AM83" s="23">
        <f t="shared" si="47"/>
        <v>45902</v>
      </c>
      <c r="AN83" s="23">
        <f t="shared" si="48"/>
        <v>45902</v>
      </c>
      <c r="AO83" s="23">
        <f t="shared" si="49"/>
        <v>45902</v>
      </c>
      <c r="AQ83" s="16">
        <v>41</v>
      </c>
      <c r="AR83" s="23">
        <f t="shared" si="50"/>
        <v>45902</v>
      </c>
      <c r="AS83" s="23">
        <f t="shared" si="34"/>
        <v>45883</v>
      </c>
    </row>
    <row r="84" spans="1:45" x14ac:dyDescent="0.2">
      <c r="A84" s="40"/>
      <c r="B84" s="30">
        <v>42</v>
      </c>
      <c r="C84" s="31">
        <f t="shared" si="46"/>
        <v>45932</v>
      </c>
      <c r="D84" s="32">
        <f t="shared" si="4"/>
        <v>-6.6927441366715357E-10</v>
      </c>
      <c r="E84" s="33">
        <f t="shared" si="5"/>
        <v>-6.6927441366715357E-10</v>
      </c>
      <c r="F84" s="32">
        <f t="shared" si="37"/>
        <v>-6.6927441366715357E-10</v>
      </c>
      <c r="G84" s="34">
        <f t="shared" si="35"/>
        <v>0</v>
      </c>
      <c r="H84" s="33">
        <f t="shared" si="36"/>
        <v>-6.6927441366715357E-10</v>
      </c>
      <c r="I84" s="34">
        <f t="shared" si="38"/>
        <v>0</v>
      </c>
      <c r="J84" s="34">
        <f t="shared" si="39"/>
        <v>0</v>
      </c>
      <c r="K84" s="34">
        <f t="shared" si="18"/>
        <v>0</v>
      </c>
      <c r="L84" s="34">
        <f t="shared" si="19"/>
        <v>-9.2903788402054481E-12</v>
      </c>
      <c r="M84" s="34">
        <f t="shared" si="20"/>
        <v>-9.2903788402054481E-12</v>
      </c>
      <c r="N84" s="34">
        <f t="shared" si="21"/>
        <v>0</v>
      </c>
      <c r="O84" s="34">
        <f t="shared" si="22"/>
        <v>0</v>
      </c>
      <c r="P84" s="34">
        <f t="shared" si="23"/>
        <v>0</v>
      </c>
      <c r="Q84" s="34">
        <f t="shared" si="24"/>
        <v>0</v>
      </c>
      <c r="R84" s="34">
        <f t="shared" si="25"/>
        <v>0</v>
      </c>
      <c r="S84" s="34"/>
      <c r="T84" s="36">
        <f t="shared" si="26"/>
        <v>-9.2903788402054481E-12</v>
      </c>
      <c r="U84" s="34">
        <f t="shared" si="40"/>
        <v>0</v>
      </c>
      <c r="V84" s="75">
        <f t="shared" si="51"/>
        <v>-1.8580757680410896E-11</v>
      </c>
      <c r="W84" s="48"/>
      <c r="X84" s="20">
        <f t="shared" si="52"/>
        <v>0</v>
      </c>
      <c r="Y84" s="24">
        <f t="shared" si="41"/>
        <v>1</v>
      </c>
      <c r="Z84" s="22">
        <f t="shared" si="33"/>
        <v>1260</v>
      </c>
      <c r="AB84" s="25">
        <f t="shared" si="27"/>
        <v>-9.2903788402054481E-12</v>
      </c>
      <c r="AC84" s="26">
        <f t="shared" si="28"/>
        <v>0</v>
      </c>
      <c r="AD84" s="26">
        <f t="shared" si="42"/>
        <v>0</v>
      </c>
      <c r="AE84" s="26"/>
      <c r="AF84" s="14"/>
      <c r="AH84" s="27">
        <f t="shared" si="43"/>
        <v>0</v>
      </c>
      <c r="AI84" s="27">
        <f t="shared" si="44"/>
        <v>0</v>
      </c>
      <c r="AJ84" s="27"/>
      <c r="AK84" s="14">
        <f t="shared" si="45"/>
        <v>0</v>
      </c>
      <c r="AM84" s="23">
        <f t="shared" si="47"/>
        <v>45932</v>
      </c>
      <c r="AN84" s="23">
        <f t="shared" si="48"/>
        <v>45932</v>
      </c>
      <c r="AO84" s="23">
        <f t="shared" si="49"/>
        <v>45932</v>
      </c>
      <c r="AQ84" s="16">
        <v>42</v>
      </c>
      <c r="AR84" s="23">
        <f t="shared" si="50"/>
        <v>45932</v>
      </c>
      <c r="AS84" s="23">
        <f t="shared" si="34"/>
        <v>45913</v>
      </c>
    </row>
    <row r="85" spans="1:45" x14ac:dyDescent="0.2">
      <c r="A85" s="40"/>
      <c r="B85" s="30">
        <v>43</v>
      </c>
      <c r="C85" s="31">
        <f t="shared" si="46"/>
        <v>45963</v>
      </c>
      <c r="D85" s="32">
        <f t="shared" si="4"/>
        <v>-6.6927441366715357E-10</v>
      </c>
      <c r="E85" s="33">
        <f t="shared" si="5"/>
        <v>-6.6927441366715357E-10</v>
      </c>
      <c r="F85" s="32">
        <f t="shared" si="37"/>
        <v>-6.6927441366715357E-10</v>
      </c>
      <c r="G85" s="34">
        <f t="shared" si="35"/>
        <v>0</v>
      </c>
      <c r="H85" s="33">
        <f t="shared" si="36"/>
        <v>-6.6927441366715357E-10</v>
      </c>
      <c r="I85" s="34">
        <f t="shared" si="38"/>
        <v>0</v>
      </c>
      <c r="J85" s="34">
        <f t="shared" si="39"/>
        <v>0</v>
      </c>
      <c r="K85" s="34">
        <f t="shared" si="18"/>
        <v>0</v>
      </c>
      <c r="L85" s="34">
        <f t="shared" si="19"/>
        <v>-9.2903788402054481E-12</v>
      </c>
      <c r="M85" s="34">
        <f t="shared" si="20"/>
        <v>-9.2903788402054481E-12</v>
      </c>
      <c r="N85" s="34">
        <f t="shared" si="21"/>
        <v>0</v>
      </c>
      <c r="O85" s="34">
        <f t="shared" si="22"/>
        <v>0</v>
      </c>
      <c r="P85" s="34">
        <f t="shared" si="23"/>
        <v>0</v>
      </c>
      <c r="Q85" s="34">
        <f t="shared" si="24"/>
        <v>0</v>
      </c>
      <c r="R85" s="34">
        <f t="shared" si="25"/>
        <v>0</v>
      </c>
      <c r="S85" s="34"/>
      <c r="T85" s="36">
        <f t="shared" si="26"/>
        <v>-9.2903788402054481E-12</v>
      </c>
      <c r="U85" s="34">
        <f t="shared" si="40"/>
        <v>0</v>
      </c>
      <c r="V85" s="75">
        <f t="shared" si="51"/>
        <v>-1.8580757680410896E-11</v>
      </c>
      <c r="W85" s="48"/>
      <c r="X85" s="20">
        <f t="shared" si="52"/>
        <v>0</v>
      </c>
      <c r="Y85" s="24">
        <f t="shared" si="41"/>
        <v>1</v>
      </c>
      <c r="Z85" s="22">
        <f t="shared" si="33"/>
        <v>1290</v>
      </c>
      <c r="AB85" s="25">
        <f t="shared" si="27"/>
        <v>-9.2903788402054481E-12</v>
      </c>
      <c r="AC85" s="26">
        <f t="shared" si="28"/>
        <v>0</v>
      </c>
      <c r="AD85" s="26">
        <f t="shared" si="42"/>
        <v>0</v>
      </c>
      <c r="AE85" s="26"/>
      <c r="AF85" s="14"/>
      <c r="AH85" s="27">
        <f t="shared" si="43"/>
        <v>0</v>
      </c>
      <c r="AI85" s="27">
        <f t="shared" si="44"/>
        <v>0</v>
      </c>
      <c r="AJ85" s="27"/>
      <c r="AK85" s="14">
        <f t="shared" si="45"/>
        <v>0</v>
      </c>
      <c r="AM85" s="23">
        <f t="shared" si="47"/>
        <v>45963</v>
      </c>
      <c r="AN85" s="23">
        <f t="shared" si="48"/>
        <v>45963</v>
      </c>
      <c r="AO85" s="23">
        <f t="shared" si="49"/>
        <v>45963</v>
      </c>
      <c r="AQ85" s="16">
        <v>43</v>
      </c>
      <c r="AR85" s="23">
        <f t="shared" si="50"/>
        <v>45963</v>
      </c>
      <c r="AS85" s="23">
        <f t="shared" si="34"/>
        <v>45943</v>
      </c>
    </row>
    <row r="86" spans="1:45" x14ac:dyDescent="0.2">
      <c r="A86" s="40"/>
      <c r="B86" s="30">
        <v>44</v>
      </c>
      <c r="C86" s="31">
        <f t="shared" si="46"/>
        <v>45993</v>
      </c>
      <c r="D86" s="32">
        <f t="shared" si="4"/>
        <v>-6.6927441366715357E-10</v>
      </c>
      <c r="E86" s="33">
        <f t="shared" si="5"/>
        <v>-6.6927441366715357E-10</v>
      </c>
      <c r="F86" s="32">
        <f t="shared" si="37"/>
        <v>-6.6927441366715357E-10</v>
      </c>
      <c r="G86" s="34">
        <f t="shared" si="35"/>
        <v>0</v>
      </c>
      <c r="H86" s="33">
        <f t="shared" si="36"/>
        <v>-6.6927441366715357E-10</v>
      </c>
      <c r="I86" s="34">
        <f t="shared" si="38"/>
        <v>0</v>
      </c>
      <c r="J86" s="34">
        <f t="shared" si="39"/>
        <v>0</v>
      </c>
      <c r="K86" s="34">
        <f t="shared" si="18"/>
        <v>0</v>
      </c>
      <c r="L86" s="34">
        <f t="shared" si="19"/>
        <v>-9.2903788402054481E-12</v>
      </c>
      <c r="M86" s="34">
        <f t="shared" si="20"/>
        <v>-9.2903788402054481E-12</v>
      </c>
      <c r="N86" s="34">
        <f t="shared" si="21"/>
        <v>0</v>
      </c>
      <c r="O86" s="34">
        <f t="shared" si="22"/>
        <v>0</v>
      </c>
      <c r="P86" s="34">
        <f t="shared" si="23"/>
        <v>0</v>
      </c>
      <c r="Q86" s="34">
        <f t="shared" si="24"/>
        <v>0</v>
      </c>
      <c r="R86" s="34">
        <f t="shared" si="25"/>
        <v>0</v>
      </c>
      <c r="S86" s="34"/>
      <c r="T86" s="36">
        <f t="shared" si="26"/>
        <v>-9.2903788402054481E-12</v>
      </c>
      <c r="U86" s="34">
        <f t="shared" si="40"/>
        <v>0</v>
      </c>
      <c r="V86" s="75">
        <f t="shared" si="51"/>
        <v>-1.8580757680410896E-11</v>
      </c>
      <c r="W86" s="48"/>
      <c r="X86" s="20">
        <f t="shared" si="52"/>
        <v>0</v>
      </c>
      <c r="Y86" s="24">
        <f t="shared" si="41"/>
        <v>1</v>
      </c>
      <c r="Z86" s="22">
        <f t="shared" si="33"/>
        <v>1320</v>
      </c>
      <c r="AB86" s="25">
        <f t="shared" si="27"/>
        <v>-9.2903788402054481E-12</v>
      </c>
      <c r="AC86" s="26">
        <f t="shared" si="28"/>
        <v>0</v>
      </c>
      <c r="AD86" s="26">
        <f t="shared" si="42"/>
        <v>0</v>
      </c>
      <c r="AE86" s="26"/>
      <c r="AF86" s="14"/>
      <c r="AH86" s="27">
        <f t="shared" si="43"/>
        <v>0</v>
      </c>
      <c r="AI86" s="27">
        <f t="shared" si="44"/>
        <v>0</v>
      </c>
      <c r="AJ86" s="27"/>
      <c r="AK86" s="14">
        <f t="shared" si="45"/>
        <v>0</v>
      </c>
      <c r="AM86" s="23">
        <f t="shared" si="47"/>
        <v>45993</v>
      </c>
      <c r="AN86" s="23">
        <f t="shared" si="48"/>
        <v>45993</v>
      </c>
      <c r="AO86" s="23">
        <f t="shared" si="49"/>
        <v>45993</v>
      </c>
      <c r="AQ86" s="16">
        <v>44</v>
      </c>
      <c r="AR86" s="23">
        <f t="shared" si="50"/>
        <v>45993</v>
      </c>
      <c r="AS86" s="23">
        <f t="shared" si="34"/>
        <v>45973</v>
      </c>
    </row>
    <row r="87" spans="1:45" x14ac:dyDescent="0.2">
      <c r="A87" s="40"/>
      <c r="B87" s="30">
        <v>45</v>
      </c>
      <c r="C87" s="31">
        <f t="shared" si="46"/>
        <v>46024</v>
      </c>
      <c r="D87" s="32">
        <f t="shared" si="4"/>
        <v>-6.6927441366715357E-10</v>
      </c>
      <c r="E87" s="33">
        <f t="shared" si="5"/>
        <v>-6.6927441366715357E-10</v>
      </c>
      <c r="F87" s="32">
        <f t="shared" si="37"/>
        <v>-6.6927441366715357E-10</v>
      </c>
      <c r="G87" s="34">
        <f t="shared" si="35"/>
        <v>0</v>
      </c>
      <c r="H87" s="33">
        <f t="shared" si="36"/>
        <v>-6.6927441366715357E-10</v>
      </c>
      <c r="I87" s="34">
        <f t="shared" si="38"/>
        <v>0</v>
      </c>
      <c r="J87" s="34">
        <f t="shared" si="39"/>
        <v>0</v>
      </c>
      <c r="K87" s="34">
        <f t="shared" si="18"/>
        <v>0</v>
      </c>
      <c r="L87" s="34">
        <f t="shared" si="19"/>
        <v>-9.2903788402054481E-12</v>
      </c>
      <c r="M87" s="34">
        <f t="shared" si="20"/>
        <v>-9.2903788402054481E-12</v>
      </c>
      <c r="N87" s="34">
        <f t="shared" si="21"/>
        <v>0</v>
      </c>
      <c r="O87" s="34">
        <f t="shared" si="22"/>
        <v>0</v>
      </c>
      <c r="P87" s="34">
        <f t="shared" si="23"/>
        <v>0</v>
      </c>
      <c r="Q87" s="34">
        <f t="shared" si="24"/>
        <v>0</v>
      </c>
      <c r="R87" s="34">
        <f t="shared" si="25"/>
        <v>0</v>
      </c>
      <c r="S87" s="34"/>
      <c r="T87" s="36">
        <f t="shared" si="26"/>
        <v>-9.2903788402054481E-12</v>
      </c>
      <c r="U87" s="34">
        <f t="shared" si="40"/>
        <v>0</v>
      </c>
      <c r="V87" s="75">
        <f t="shared" si="51"/>
        <v>-1.8580757680410896E-11</v>
      </c>
      <c r="W87" s="48"/>
      <c r="X87" s="20">
        <f t="shared" si="52"/>
        <v>0</v>
      </c>
      <c r="Y87" s="24">
        <f t="shared" si="41"/>
        <v>1</v>
      </c>
      <c r="Z87" s="22">
        <f t="shared" si="33"/>
        <v>1350</v>
      </c>
      <c r="AB87" s="25">
        <f t="shared" si="27"/>
        <v>-9.2903788402054481E-12</v>
      </c>
      <c r="AC87" s="26">
        <f t="shared" si="28"/>
        <v>0</v>
      </c>
      <c r="AD87" s="26">
        <f t="shared" si="42"/>
        <v>0</v>
      </c>
      <c r="AE87" s="26"/>
      <c r="AF87" s="14"/>
      <c r="AH87" s="27">
        <f t="shared" si="43"/>
        <v>0</v>
      </c>
      <c r="AI87" s="27">
        <f t="shared" si="44"/>
        <v>0</v>
      </c>
      <c r="AJ87" s="27"/>
      <c r="AK87" s="14">
        <f t="shared" si="45"/>
        <v>0</v>
      </c>
      <c r="AM87" s="23">
        <f t="shared" si="47"/>
        <v>46024</v>
      </c>
      <c r="AN87" s="23">
        <f t="shared" si="48"/>
        <v>46024</v>
      </c>
      <c r="AO87" s="23">
        <f t="shared" si="49"/>
        <v>46024</v>
      </c>
      <c r="AQ87" s="16">
        <v>45</v>
      </c>
      <c r="AR87" s="23">
        <f t="shared" si="50"/>
        <v>46024</v>
      </c>
      <c r="AS87" s="23">
        <f t="shared" si="34"/>
        <v>46003</v>
      </c>
    </row>
    <row r="88" spans="1:45" x14ac:dyDescent="0.2">
      <c r="A88" s="40"/>
      <c r="B88" s="30">
        <v>46</v>
      </c>
      <c r="C88" s="31">
        <f t="shared" si="46"/>
        <v>46055</v>
      </c>
      <c r="D88" s="32">
        <f t="shared" si="4"/>
        <v>-6.6927441366715357E-10</v>
      </c>
      <c r="E88" s="33">
        <f t="shared" si="5"/>
        <v>-6.6927441366715357E-10</v>
      </c>
      <c r="F88" s="32">
        <f t="shared" si="37"/>
        <v>-6.6927441366715357E-10</v>
      </c>
      <c r="G88" s="34">
        <f t="shared" si="35"/>
        <v>0</v>
      </c>
      <c r="H88" s="33">
        <f t="shared" si="36"/>
        <v>-6.6927441366715357E-10</v>
      </c>
      <c r="I88" s="34">
        <f t="shared" si="38"/>
        <v>0</v>
      </c>
      <c r="J88" s="34">
        <f t="shared" si="39"/>
        <v>0</v>
      </c>
      <c r="K88" s="34">
        <f t="shared" si="18"/>
        <v>0</v>
      </c>
      <c r="L88" s="34">
        <f t="shared" si="19"/>
        <v>-9.2903788402054481E-12</v>
      </c>
      <c r="M88" s="34">
        <f t="shared" si="20"/>
        <v>-9.2903788402054481E-12</v>
      </c>
      <c r="N88" s="34">
        <f t="shared" si="21"/>
        <v>0</v>
      </c>
      <c r="O88" s="34">
        <f t="shared" si="22"/>
        <v>0</v>
      </c>
      <c r="P88" s="34">
        <f t="shared" si="23"/>
        <v>0</v>
      </c>
      <c r="Q88" s="34">
        <f t="shared" si="24"/>
        <v>0</v>
      </c>
      <c r="R88" s="34">
        <f t="shared" si="25"/>
        <v>0</v>
      </c>
      <c r="S88" s="34"/>
      <c r="T88" s="36">
        <f t="shared" si="26"/>
        <v>-9.2903788402054481E-12</v>
      </c>
      <c r="U88" s="34">
        <f t="shared" si="40"/>
        <v>0</v>
      </c>
      <c r="V88" s="75">
        <f t="shared" si="51"/>
        <v>-1.8580757680410896E-11</v>
      </c>
      <c r="W88" s="48"/>
      <c r="X88" s="20">
        <f t="shared" si="52"/>
        <v>0</v>
      </c>
      <c r="Y88" s="24">
        <f t="shared" si="41"/>
        <v>1</v>
      </c>
      <c r="Z88" s="22">
        <f t="shared" si="33"/>
        <v>1380</v>
      </c>
      <c r="AB88" s="25">
        <f t="shared" si="27"/>
        <v>-9.2903788402054481E-12</v>
      </c>
      <c r="AC88" s="26">
        <f t="shared" si="28"/>
        <v>0</v>
      </c>
      <c r="AD88" s="26">
        <f t="shared" si="42"/>
        <v>0</v>
      </c>
      <c r="AE88" s="26"/>
      <c r="AF88" s="14"/>
      <c r="AH88" s="27">
        <f t="shared" si="43"/>
        <v>0</v>
      </c>
      <c r="AI88" s="27">
        <f t="shared" si="44"/>
        <v>0</v>
      </c>
      <c r="AJ88" s="27"/>
      <c r="AK88" s="14">
        <f t="shared" si="45"/>
        <v>0</v>
      </c>
      <c r="AM88" s="23">
        <f t="shared" si="47"/>
        <v>46055</v>
      </c>
      <c r="AN88" s="23">
        <f t="shared" si="48"/>
        <v>46055</v>
      </c>
      <c r="AO88" s="23">
        <f t="shared" si="49"/>
        <v>46055</v>
      </c>
      <c r="AQ88" s="16">
        <v>46</v>
      </c>
      <c r="AR88" s="23">
        <f t="shared" si="50"/>
        <v>46055</v>
      </c>
      <c r="AS88" s="23">
        <f t="shared" si="34"/>
        <v>46033</v>
      </c>
    </row>
    <row r="89" spans="1:45" x14ac:dyDescent="0.2">
      <c r="A89" s="40"/>
      <c r="B89" s="30">
        <v>47</v>
      </c>
      <c r="C89" s="31">
        <f t="shared" si="46"/>
        <v>46083</v>
      </c>
      <c r="D89" s="32">
        <f t="shared" si="4"/>
        <v>-6.6927441366715357E-10</v>
      </c>
      <c r="E89" s="33">
        <f t="shared" si="5"/>
        <v>-6.6927441366715357E-10</v>
      </c>
      <c r="F89" s="32">
        <f t="shared" si="37"/>
        <v>-6.6927441366715357E-10</v>
      </c>
      <c r="G89" s="34">
        <f t="shared" si="35"/>
        <v>0</v>
      </c>
      <c r="H89" s="33">
        <f t="shared" si="36"/>
        <v>-6.6927441366715357E-10</v>
      </c>
      <c r="I89" s="34">
        <f t="shared" si="38"/>
        <v>0</v>
      </c>
      <c r="J89" s="34">
        <f t="shared" si="39"/>
        <v>0</v>
      </c>
      <c r="K89" s="34">
        <f t="shared" si="18"/>
        <v>0</v>
      </c>
      <c r="L89" s="34">
        <f t="shared" si="19"/>
        <v>-9.2903788402054481E-12</v>
      </c>
      <c r="M89" s="34">
        <f t="shared" si="20"/>
        <v>-9.2903788402054481E-12</v>
      </c>
      <c r="N89" s="34">
        <f t="shared" si="21"/>
        <v>0</v>
      </c>
      <c r="O89" s="34">
        <f t="shared" si="22"/>
        <v>0</v>
      </c>
      <c r="P89" s="34">
        <f t="shared" si="23"/>
        <v>0</v>
      </c>
      <c r="Q89" s="34">
        <f t="shared" si="24"/>
        <v>0</v>
      </c>
      <c r="R89" s="34">
        <f t="shared" si="25"/>
        <v>0</v>
      </c>
      <c r="S89" s="34"/>
      <c r="T89" s="36">
        <f t="shared" si="26"/>
        <v>-9.2903788402054481E-12</v>
      </c>
      <c r="U89" s="34">
        <f t="shared" si="40"/>
        <v>0</v>
      </c>
      <c r="V89" s="75">
        <f t="shared" si="51"/>
        <v>-1.8580757680410896E-11</v>
      </c>
      <c r="W89" s="48"/>
      <c r="X89" s="20">
        <f t="shared" si="52"/>
        <v>0</v>
      </c>
      <c r="Y89" s="24">
        <f t="shared" si="41"/>
        <v>1</v>
      </c>
      <c r="Z89" s="22">
        <f t="shared" si="33"/>
        <v>1410</v>
      </c>
      <c r="AB89" s="25">
        <f t="shared" si="27"/>
        <v>-9.2903788402054481E-12</v>
      </c>
      <c r="AC89" s="26">
        <f t="shared" si="28"/>
        <v>0</v>
      </c>
      <c r="AD89" s="26">
        <f t="shared" si="42"/>
        <v>0</v>
      </c>
      <c r="AE89" s="26"/>
      <c r="AF89" s="14"/>
      <c r="AH89" s="27">
        <f t="shared" si="43"/>
        <v>0</v>
      </c>
      <c r="AI89" s="27">
        <f t="shared" si="44"/>
        <v>0</v>
      </c>
      <c r="AJ89" s="27"/>
      <c r="AK89" s="14">
        <f t="shared" si="45"/>
        <v>0</v>
      </c>
      <c r="AM89" s="23">
        <f t="shared" si="47"/>
        <v>46083</v>
      </c>
      <c r="AN89" s="23">
        <f t="shared" si="48"/>
        <v>46083</v>
      </c>
      <c r="AO89" s="23">
        <f t="shared" si="49"/>
        <v>46083</v>
      </c>
      <c r="AQ89" s="16">
        <v>47</v>
      </c>
      <c r="AR89" s="23">
        <f t="shared" si="50"/>
        <v>46083</v>
      </c>
      <c r="AS89" s="23">
        <f t="shared" si="34"/>
        <v>46063</v>
      </c>
    </row>
    <row r="90" spans="1:45" x14ac:dyDescent="0.2">
      <c r="A90" s="40"/>
      <c r="B90" s="30">
        <v>48</v>
      </c>
      <c r="C90" s="59">
        <f t="shared" si="46"/>
        <v>46114</v>
      </c>
      <c r="D90" s="34">
        <f t="shared" si="4"/>
        <v>-6.6927441366715357E-10</v>
      </c>
      <c r="E90" s="33">
        <f t="shared" si="5"/>
        <v>-6.6927441366715357E-10</v>
      </c>
      <c r="F90" s="32">
        <f t="shared" si="37"/>
        <v>-6.6927441366715357E-10</v>
      </c>
      <c r="G90" s="34">
        <f t="shared" si="35"/>
        <v>0</v>
      </c>
      <c r="H90" s="33">
        <f t="shared" si="36"/>
        <v>-6.6927441366715357E-10</v>
      </c>
      <c r="I90" s="34">
        <f t="shared" si="38"/>
        <v>0</v>
      </c>
      <c r="J90" s="34">
        <f t="shared" si="39"/>
        <v>0</v>
      </c>
      <c r="K90" s="34">
        <f t="shared" si="18"/>
        <v>0</v>
      </c>
      <c r="L90" s="34">
        <f t="shared" si="19"/>
        <v>-9.2903788402054481E-12</v>
      </c>
      <c r="M90" s="34">
        <f t="shared" si="20"/>
        <v>-9.2903788402054481E-12</v>
      </c>
      <c r="N90" s="34">
        <f t="shared" si="21"/>
        <v>0</v>
      </c>
      <c r="O90" s="34">
        <f t="shared" si="22"/>
        <v>0</v>
      </c>
      <c r="P90" s="34">
        <f t="shared" si="23"/>
        <v>0</v>
      </c>
      <c r="Q90" s="34">
        <f t="shared" si="24"/>
        <v>0</v>
      </c>
      <c r="R90" s="34">
        <f t="shared" si="25"/>
        <v>0</v>
      </c>
      <c r="S90" s="34"/>
      <c r="T90" s="36">
        <f t="shared" si="26"/>
        <v>-9.2903788402054481E-12</v>
      </c>
      <c r="U90" s="34">
        <f t="shared" si="40"/>
        <v>0</v>
      </c>
      <c r="V90" s="75">
        <f t="shared" si="51"/>
        <v>-1.8580757680410896E-11</v>
      </c>
      <c r="W90" s="48"/>
      <c r="X90" s="20">
        <f t="shared" si="52"/>
        <v>0</v>
      </c>
      <c r="Y90" s="24">
        <f t="shared" si="41"/>
        <v>1</v>
      </c>
      <c r="Z90" s="22">
        <f t="shared" si="33"/>
        <v>1440</v>
      </c>
      <c r="AB90" s="25">
        <f t="shared" si="27"/>
        <v>-9.2903788402054481E-12</v>
      </c>
      <c r="AC90" s="26">
        <f t="shared" si="28"/>
        <v>0</v>
      </c>
      <c r="AD90" s="26">
        <f t="shared" si="42"/>
        <v>0</v>
      </c>
      <c r="AE90" s="26"/>
      <c r="AF90" s="14"/>
      <c r="AH90" s="27">
        <f t="shared" si="43"/>
        <v>0</v>
      </c>
      <c r="AI90" s="27">
        <f t="shared" si="44"/>
        <v>0</v>
      </c>
      <c r="AJ90" s="27"/>
      <c r="AK90" s="14">
        <f t="shared" si="45"/>
        <v>0</v>
      </c>
      <c r="AM90" s="23">
        <f t="shared" si="47"/>
        <v>46114</v>
      </c>
      <c r="AN90" s="23">
        <f t="shared" si="48"/>
        <v>46114</v>
      </c>
      <c r="AO90" s="23">
        <f t="shared" si="49"/>
        <v>46114</v>
      </c>
      <c r="AQ90" s="16">
        <v>48</v>
      </c>
      <c r="AR90" s="23">
        <f t="shared" si="50"/>
        <v>46114</v>
      </c>
      <c r="AS90" s="23">
        <f t="shared" si="34"/>
        <v>46093</v>
      </c>
    </row>
    <row r="91" spans="1:45" x14ac:dyDescent="0.2">
      <c r="A91" s="40"/>
      <c r="B91" s="30">
        <v>49</v>
      </c>
      <c r="C91" s="59">
        <f t="shared" si="46"/>
        <v>46144</v>
      </c>
      <c r="D91" s="36">
        <f t="shared" si="4"/>
        <v>-6.6927441366715357E-10</v>
      </c>
      <c r="E91" s="33">
        <f t="shared" si="5"/>
        <v>-6.6927441366715357E-10</v>
      </c>
      <c r="F91" s="34">
        <f t="shared" si="37"/>
        <v>-6.6927441366715357E-10</v>
      </c>
      <c r="G91" s="34">
        <f t="shared" si="35"/>
        <v>0</v>
      </c>
      <c r="H91" s="33">
        <f t="shared" si="36"/>
        <v>-6.6927441366715357E-10</v>
      </c>
      <c r="I91" s="34">
        <f t="shared" si="38"/>
        <v>0</v>
      </c>
      <c r="J91" s="34">
        <f t="shared" si="39"/>
        <v>0</v>
      </c>
      <c r="K91" s="34">
        <f t="shared" si="18"/>
        <v>0</v>
      </c>
      <c r="L91" s="34">
        <f t="shared" si="19"/>
        <v>-9.2903788402054481E-12</v>
      </c>
      <c r="M91" s="34">
        <f t="shared" si="20"/>
        <v>-9.2903788402054481E-12</v>
      </c>
      <c r="N91" s="34">
        <f t="shared" si="21"/>
        <v>0</v>
      </c>
      <c r="O91" s="34">
        <f t="shared" si="22"/>
        <v>0</v>
      </c>
      <c r="P91" s="34">
        <f t="shared" si="23"/>
        <v>0</v>
      </c>
      <c r="Q91" s="34">
        <f t="shared" si="24"/>
        <v>0</v>
      </c>
      <c r="R91" s="33">
        <f t="shared" si="25"/>
        <v>0</v>
      </c>
      <c r="S91" s="34"/>
      <c r="T91" s="33">
        <f t="shared" si="26"/>
        <v>-9.2903788402054481E-12</v>
      </c>
      <c r="U91" s="34">
        <f t="shared" si="40"/>
        <v>0</v>
      </c>
      <c r="V91" s="75">
        <f t="shared" si="51"/>
        <v>-1.8580757680410896E-11</v>
      </c>
      <c r="W91" s="48"/>
      <c r="X91" s="20">
        <f t="shared" si="52"/>
        <v>0</v>
      </c>
      <c r="Y91" s="24">
        <f t="shared" si="41"/>
        <v>1</v>
      </c>
      <c r="Z91" s="22">
        <f t="shared" si="33"/>
        <v>1470</v>
      </c>
      <c r="AB91" s="25">
        <f t="shared" si="27"/>
        <v>-9.2903788402054481E-12</v>
      </c>
      <c r="AC91" s="26">
        <f t="shared" si="28"/>
        <v>0</v>
      </c>
      <c r="AD91" s="26">
        <f t="shared" si="42"/>
        <v>0</v>
      </c>
      <c r="AE91" s="26"/>
      <c r="AF91" s="14"/>
      <c r="AH91" s="27">
        <f t="shared" si="43"/>
        <v>0</v>
      </c>
      <c r="AI91" s="27">
        <f t="shared" si="44"/>
        <v>0</v>
      </c>
      <c r="AJ91" s="27"/>
      <c r="AK91" s="14">
        <f t="shared" si="45"/>
        <v>0</v>
      </c>
      <c r="AM91" s="23">
        <f t="shared" si="47"/>
        <v>46144</v>
      </c>
      <c r="AN91" s="23">
        <f t="shared" si="48"/>
        <v>46144</v>
      </c>
      <c r="AO91" s="23">
        <f t="shared" si="49"/>
        <v>46144</v>
      </c>
      <c r="AQ91" s="16">
        <v>49</v>
      </c>
      <c r="AR91" s="23">
        <f t="shared" si="50"/>
        <v>46144</v>
      </c>
      <c r="AS91" s="23">
        <f t="shared" si="34"/>
        <v>46123</v>
      </c>
    </row>
    <row r="92" spans="1:45" x14ac:dyDescent="0.2">
      <c r="A92" s="40"/>
      <c r="B92" s="30">
        <v>50</v>
      </c>
      <c r="C92" s="59">
        <f t="shared" si="46"/>
        <v>46175</v>
      </c>
      <c r="D92" s="36">
        <f t="shared" si="4"/>
        <v>-6.6927441366715357E-10</v>
      </c>
      <c r="E92" s="33">
        <f t="shared" si="5"/>
        <v>-6.6927441366715357E-10</v>
      </c>
      <c r="F92" s="34">
        <f t="shared" si="37"/>
        <v>-6.6927441366715357E-10</v>
      </c>
      <c r="G92" s="34">
        <f t="shared" si="35"/>
        <v>0</v>
      </c>
      <c r="H92" s="33">
        <f t="shared" si="36"/>
        <v>-6.6927441366715357E-10</v>
      </c>
      <c r="I92" s="34">
        <f t="shared" si="38"/>
        <v>0</v>
      </c>
      <c r="J92" s="34">
        <f t="shared" si="39"/>
        <v>0</v>
      </c>
      <c r="K92" s="34">
        <f t="shared" si="18"/>
        <v>0</v>
      </c>
      <c r="L92" s="34">
        <f t="shared" si="19"/>
        <v>-9.2903788402054481E-12</v>
      </c>
      <c r="M92" s="34">
        <f t="shared" si="20"/>
        <v>-9.2903788402054481E-12</v>
      </c>
      <c r="N92" s="34">
        <f t="shared" si="21"/>
        <v>0</v>
      </c>
      <c r="O92" s="34">
        <f t="shared" si="22"/>
        <v>0</v>
      </c>
      <c r="P92" s="34">
        <f t="shared" si="23"/>
        <v>0</v>
      </c>
      <c r="Q92" s="34">
        <f t="shared" si="24"/>
        <v>0</v>
      </c>
      <c r="R92" s="33">
        <f t="shared" si="25"/>
        <v>0</v>
      </c>
      <c r="S92" s="34"/>
      <c r="T92" s="33">
        <f t="shared" si="26"/>
        <v>-9.2903788402054481E-12</v>
      </c>
      <c r="U92" s="34">
        <f t="shared" si="40"/>
        <v>0</v>
      </c>
      <c r="V92" s="75">
        <f t="shared" si="51"/>
        <v>-1.8580757680410896E-11</v>
      </c>
      <c r="W92" s="48"/>
      <c r="X92" s="20">
        <f t="shared" si="52"/>
        <v>0</v>
      </c>
      <c r="Y92" s="24">
        <f t="shared" si="41"/>
        <v>1</v>
      </c>
      <c r="Z92" s="22">
        <f t="shared" si="33"/>
        <v>1500</v>
      </c>
      <c r="AB92" s="25">
        <f t="shared" si="27"/>
        <v>-9.2903788402054481E-12</v>
      </c>
      <c r="AC92" s="26">
        <f t="shared" si="28"/>
        <v>0</v>
      </c>
      <c r="AD92" s="26">
        <f t="shared" si="42"/>
        <v>0</v>
      </c>
      <c r="AE92" s="26"/>
      <c r="AF92" s="14"/>
      <c r="AH92" s="27">
        <f t="shared" si="43"/>
        <v>0</v>
      </c>
      <c r="AI92" s="27">
        <f t="shared" si="44"/>
        <v>0</v>
      </c>
      <c r="AJ92" s="27"/>
      <c r="AK92" s="14">
        <f t="shared" si="45"/>
        <v>0</v>
      </c>
      <c r="AM92" s="23">
        <f t="shared" si="47"/>
        <v>46175</v>
      </c>
      <c r="AN92" s="23">
        <f t="shared" si="48"/>
        <v>46175</v>
      </c>
      <c r="AO92" s="23">
        <f t="shared" si="49"/>
        <v>46175</v>
      </c>
      <c r="AQ92" s="16">
        <v>50</v>
      </c>
      <c r="AR92" s="23">
        <f t="shared" si="50"/>
        <v>46175</v>
      </c>
      <c r="AS92" s="23">
        <f t="shared" si="34"/>
        <v>46153</v>
      </c>
    </row>
    <row r="93" spans="1:45" x14ac:dyDescent="0.2">
      <c r="A93" s="40"/>
      <c r="B93" s="30">
        <v>51</v>
      </c>
      <c r="C93" s="59">
        <f t="shared" si="46"/>
        <v>46205</v>
      </c>
      <c r="D93" s="36">
        <f t="shared" si="4"/>
        <v>-6.6927441366715357E-10</v>
      </c>
      <c r="E93" s="33">
        <f t="shared" si="5"/>
        <v>-6.6927441366715357E-10</v>
      </c>
      <c r="F93" s="34">
        <f t="shared" si="37"/>
        <v>-6.6927441366715357E-10</v>
      </c>
      <c r="G93" s="34">
        <f t="shared" si="35"/>
        <v>0</v>
      </c>
      <c r="H93" s="33">
        <f t="shared" si="36"/>
        <v>-6.6927441366715357E-10</v>
      </c>
      <c r="I93" s="34">
        <f t="shared" si="38"/>
        <v>0</v>
      </c>
      <c r="J93" s="34">
        <f t="shared" si="39"/>
        <v>0</v>
      </c>
      <c r="K93" s="34">
        <f t="shared" si="18"/>
        <v>0</v>
      </c>
      <c r="L93" s="34">
        <f t="shared" si="19"/>
        <v>-9.2903788402054481E-12</v>
      </c>
      <c r="M93" s="34">
        <f t="shared" si="20"/>
        <v>-9.2903788402054481E-12</v>
      </c>
      <c r="N93" s="34">
        <f t="shared" si="21"/>
        <v>0</v>
      </c>
      <c r="O93" s="34">
        <f t="shared" si="22"/>
        <v>0</v>
      </c>
      <c r="P93" s="34">
        <f t="shared" si="23"/>
        <v>0</v>
      </c>
      <c r="Q93" s="34">
        <f t="shared" si="24"/>
        <v>0</v>
      </c>
      <c r="R93" s="33">
        <f t="shared" si="25"/>
        <v>0</v>
      </c>
      <c r="S93" s="34"/>
      <c r="T93" s="33">
        <f t="shared" si="26"/>
        <v>-9.2903788402054481E-12</v>
      </c>
      <c r="U93" s="34">
        <f t="shared" si="40"/>
        <v>0</v>
      </c>
      <c r="V93" s="75">
        <f t="shared" si="51"/>
        <v>-1.8580757680410896E-11</v>
      </c>
      <c r="W93" s="48"/>
      <c r="X93" s="20">
        <f t="shared" si="52"/>
        <v>0</v>
      </c>
      <c r="Y93" s="24">
        <f t="shared" si="41"/>
        <v>1</v>
      </c>
      <c r="Z93" s="22">
        <f t="shared" si="33"/>
        <v>1530</v>
      </c>
      <c r="AB93" s="25">
        <f t="shared" si="27"/>
        <v>-9.2903788402054481E-12</v>
      </c>
      <c r="AC93" s="26">
        <f t="shared" si="28"/>
        <v>0</v>
      </c>
      <c r="AD93" s="26">
        <f t="shared" si="42"/>
        <v>0</v>
      </c>
      <c r="AE93" s="26"/>
      <c r="AF93" s="14"/>
      <c r="AH93" s="27">
        <f t="shared" si="43"/>
        <v>0</v>
      </c>
      <c r="AI93" s="27">
        <f t="shared" si="44"/>
        <v>0</v>
      </c>
      <c r="AJ93" s="27"/>
      <c r="AK93" s="14">
        <f t="shared" si="45"/>
        <v>0</v>
      </c>
      <c r="AM93" s="23">
        <f t="shared" si="47"/>
        <v>46205</v>
      </c>
      <c r="AN93" s="23">
        <f t="shared" si="48"/>
        <v>46205</v>
      </c>
      <c r="AO93" s="23">
        <f t="shared" si="49"/>
        <v>46205</v>
      </c>
      <c r="AQ93" s="16">
        <v>51</v>
      </c>
      <c r="AR93" s="23">
        <f t="shared" si="50"/>
        <v>46205</v>
      </c>
      <c r="AS93" s="23">
        <f t="shared" si="34"/>
        <v>46183</v>
      </c>
    </row>
    <row r="94" spans="1:45" x14ac:dyDescent="0.2">
      <c r="A94" s="40"/>
      <c r="B94" s="30">
        <v>52</v>
      </c>
      <c r="C94" s="59">
        <f t="shared" si="46"/>
        <v>46236</v>
      </c>
      <c r="D94" s="36">
        <f t="shared" si="4"/>
        <v>-6.6927441366715357E-10</v>
      </c>
      <c r="E94" s="33">
        <f t="shared" si="5"/>
        <v>-6.6927441366715357E-10</v>
      </c>
      <c r="F94" s="34">
        <f t="shared" si="37"/>
        <v>-6.6927441366715357E-10</v>
      </c>
      <c r="G94" s="34">
        <f t="shared" si="35"/>
        <v>0</v>
      </c>
      <c r="H94" s="33">
        <f t="shared" si="36"/>
        <v>-6.6927441366715357E-10</v>
      </c>
      <c r="I94" s="34">
        <f t="shared" si="38"/>
        <v>0</v>
      </c>
      <c r="J94" s="34">
        <f t="shared" si="39"/>
        <v>0</v>
      </c>
      <c r="K94" s="34">
        <f t="shared" si="18"/>
        <v>0</v>
      </c>
      <c r="L94" s="34">
        <f t="shared" si="19"/>
        <v>-9.2903788402054481E-12</v>
      </c>
      <c r="M94" s="34">
        <f t="shared" si="20"/>
        <v>-9.2903788402054481E-12</v>
      </c>
      <c r="N94" s="34">
        <f t="shared" si="21"/>
        <v>0</v>
      </c>
      <c r="O94" s="34">
        <f t="shared" si="22"/>
        <v>0</v>
      </c>
      <c r="P94" s="34">
        <f t="shared" si="23"/>
        <v>0</v>
      </c>
      <c r="Q94" s="34">
        <f t="shared" si="24"/>
        <v>0</v>
      </c>
      <c r="R94" s="33">
        <f t="shared" si="25"/>
        <v>0</v>
      </c>
      <c r="S94" s="34"/>
      <c r="T94" s="33">
        <f t="shared" si="26"/>
        <v>-9.2903788402054481E-12</v>
      </c>
      <c r="U94" s="34">
        <f t="shared" si="40"/>
        <v>0</v>
      </c>
      <c r="V94" s="75">
        <f t="shared" si="51"/>
        <v>-1.8580757680410896E-11</v>
      </c>
      <c r="W94" s="48"/>
      <c r="X94" s="20">
        <f t="shared" si="52"/>
        <v>0</v>
      </c>
      <c r="Y94" s="24">
        <f t="shared" si="41"/>
        <v>1</v>
      </c>
      <c r="Z94" s="22">
        <f t="shared" si="33"/>
        <v>1560</v>
      </c>
      <c r="AB94" s="25">
        <f t="shared" si="27"/>
        <v>-9.2903788402054481E-12</v>
      </c>
      <c r="AC94" s="26">
        <f t="shared" si="28"/>
        <v>0</v>
      </c>
      <c r="AD94" s="26">
        <f t="shared" si="42"/>
        <v>0</v>
      </c>
      <c r="AE94" s="26"/>
      <c r="AF94" s="14"/>
      <c r="AH94" s="27">
        <f t="shared" si="43"/>
        <v>0</v>
      </c>
      <c r="AI94" s="27">
        <f t="shared" si="44"/>
        <v>0</v>
      </c>
      <c r="AJ94" s="27"/>
      <c r="AK94" s="14">
        <f t="shared" si="45"/>
        <v>0</v>
      </c>
      <c r="AM94" s="23">
        <f t="shared" si="47"/>
        <v>46236</v>
      </c>
      <c r="AN94" s="23">
        <f t="shared" si="48"/>
        <v>46236</v>
      </c>
      <c r="AO94" s="23">
        <f t="shared" si="49"/>
        <v>46236</v>
      </c>
      <c r="AQ94" s="16">
        <v>52</v>
      </c>
      <c r="AR94" s="23">
        <f t="shared" si="50"/>
        <v>46236</v>
      </c>
      <c r="AS94" s="23">
        <f t="shared" si="34"/>
        <v>46213</v>
      </c>
    </row>
    <row r="95" spans="1:45" x14ac:dyDescent="0.2">
      <c r="A95" s="40"/>
      <c r="B95" s="30">
        <v>53</v>
      </c>
      <c r="C95" s="59">
        <f t="shared" si="46"/>
        <v>46267</v>
      </c>
      <c r="D95" s="36">
        <f t="shared" si="4"/>
        <v>-6.6927441366715357E-10</v>
      </c>
      <c r="E95" s="33">
        <f t="shared" si="5"/>
        <v>-6.6927441366715357E-10</v>
      </c>
      <c r="F95" s="34">
        <f t="shared" si="37"/>
        <v>-6.6927441366715357E-10</v>
      </c>
      <c r="G95" s="34">
        <f t="shared" si="35"/>
        <v>0</v>
      </c>
      <c r="H95" s="33">
        <f t="shared" si="36"/>
        <v>-6.6927441366715357E-10</v>
      </c>
      <c r="I95" s="34">
        <f t="shared" si="38"/>
        <v>0</v>
      </c>
      <c r="J95" s="34">
        <f t="shared" si="39"/>
        <v>0</v>
      </c>
      <c r="K95" s="34">
        <f t="shared" si="18"/>
        <v>0</v>
      </c>
      <c r="L95" s="34">
        <f t="shared" si="19"/>
        <v>-9.2903788402054481E-12</v>
      </c>
      <c r="M95" s="34">
        <f t="shared" si="20"/>
        <v>-9.2903788402054481E-12</v>
      </c>
      <c r="N95" s="34">
        <f t="shared" si="21"/>
        <v>0</v>
      </c>
      <c r="O95" s="34">
        <f t="shared" si="22"/>
        <v>0</v>
      </c>
      <c r="P95" s="34">
        <f t="shared" si="23"/>
        <v>0</v>
      </c>
      <c r="Q95" s="34">
        <f t="shared" si="24"/>
        <v>0</v>
      </c>
      <c r="R95" s="33">
        <f t="shared" si="25"/>
        <v>0</v>
      </c>
      <c r="S95" s="34"/>
      <c r="T95" s="33">
        <f t="shared" si="26"/>
        <v>-9.2903788402054481E-12</v>
      </c>
      <c r="U95" s="34">
        <f t="shared" si="40"/>
        <v>0</v>
      </c>
      <c r="V95" s="75">
        <f t="shared" si="51"/>
        <v>-1.8580757680410896E-11</v>
      </c>
      <c r="W95" s="48"/>
      <c r="X95" s="20">
        <f t="shared" si="52"/>
        <v>0</v>
      </c>
      <c r="Y95" s="24">
        <f t="shared" si="41"/>
        <v>1</v>
      </c>
      <c r="Z95" s="22">
        <f t="shared" si="33"/>
        <v>1590</v>
      </c>
      <c r="AB95" s="25">
        <f t="shared" si="27"/>
        <v>-9.2903788402054481E-12</v>
      </c>
      <c r="AC95" s="26">
        <f t="shared" si="28"/>
        <v>0</v>
      </c>
      <c r="AD95" s="26">
        <f t="shared" si="42"/>
        <v>0</v>
      </c>
      <c r="AE95" s="26"/>
      <c r="AF95" s="14"/>
      <c r="AH95" s="27">
        <f t="shared" si="43"/>
        <v>0</v>
      </c>
      <c r="AI95" s="27">
        <f t="shared" si="44"/>
        <v>0</v>
      </c>
      <c r="AJ95" s="27"/>
      <c r="AK95" s="14">
        <f t="shared" si="45"/>
        <v>0</v>
      </c>
      <c r="AM95" s="23">
        <f t="shared" si="47"/>
        <v>46267</v>
      </c>
      <c r="AN95" s="23">
        <f t="shared" si="48"/>
        <v>46267</v>
      </c>
      <c r="AO95" s="23">
        <f t="shared" si="49"/>
        <v>46267</v>
      </c>
      <c r="AQ95" s="16">
        <v>53</v>
      </c>
      <c r="AR95" s="23">
        <f t="shared" si="50"/>
        <v>46267</v>
      </c>
      <c r="AS95" s="23">
        <f t="shared" si="34"/>
        <v>46243</v>
      </c>
    </row>
    <row r="96" spans="1:45" x14ac:dyDescent="0.2">
      <c r="A96" s="40"/>
      <c r="B96" s="30">
        <v>54</v>
      </c>
      <c r="C96" s="59">
        <f t="shared" si="46"/>
        <v>46297</v>
      </c>
      <c r="D96" s="36">
        <f t="shared" si="4"/>
        <v>-6.6927441366715357E-10</v>
      </c>
      <c r="E96" s="33">
        <f t="shared" si="5"/>
        <v>-6.6927441366715357E-10</v>
      </c>
      <c r="F96" s="34">
        <f t="shared" si="37"/>
        <v>-6.6927441366715357E-10</v>
      </c>
      <c r="G96" s="34">
        <f t="shared" si="35"/>
        <v>0</v>
      </c>
      <c r="H96" s="33">
        <f t="shared" si="36"/>
        <v>-6.6927441366715357E-10</v>
      </c>
      <c r="I96" s="34">
        <f t="shared" si="38"/>
        <v>0</v>
      </c>
      <c r="J96" s="34">
        <f t="shared" si="39"/>
        <v>0</v>
      </c>
      <c r="K96" s="34">
        <f t="shared" si="18"/>
        <v>0</v>
      </c>
      <c r="L96" s="34">
        <f t="shared" si="19"/>
        <v>-9.2903788402054481E-12</v>
      </c>
      <c r="M96" s="34">
        <f t="shared" si="20"/>
        <v>-9.2903788402054481E-12</v>
      </c>
      <c r="N96" s="34">
        <f t="shared" si="21"/>
        <v>0</v>
      </c>
      <c r="O96" s="34">
        <f t="shared" si="22"/>
        <v>0</v>
      </c>
      <c r="P96" s="34">
        <f t="shared" si="23"/>
        <v>0</v>
      </c>
      <c r="Q96" s="34">
        <f t="shared" si="24"/>
        <v>0</v>
      </c>
      <c r="R96" s="33">
        <f t="shared" si="25"/>
        <v>0</v>
      </c>
      <c r="S96" s="34"/>
      <c r="T96" s="33">
        <f t="shared" si="26"/>
        <v>-9.2903788402054481E-12</v>
      </c>
      <c r="U96" s="34">
        <f t="shared" si="40"/>
        <v>0</v>
      </c>
      <c r="V96" s="75">
        <f t="shared" si="51"/>
        <v>-1.8580757680410896E-11</v>
      </c>
      <c r="W96" s="48"/>
      <c r="X96" s="20">
        <f t="shared" si="52"/>
        <v>0</v>
      </c>
      <c r="Y96" s="24">
        <f t="shared" si="41"/>
        <v>1</v>
      </c>
      <c r="Z96" s="22">
        <f t="shared" si="33"/>
        <v>1620</v>
      </c>
      <c r="AB96" s="25">
        <f t="shared" si="27"/>
        <v>-9.2903788402054481E-12</v>
      </c>
      <c r="AC96" s="26">
        <f t="shared" si="28"/>
        <v>0</v>
      </c>
      <c r="AD96" s="26">
        <f t="shared" si="42"/>
        <v>0</v>
      </c>
      <c r="AE96" s="26"/>
      <c r="AF96" s="14"/>
      <c r="AH96" s="27">
        <f t="shared" si="43"/>
        <v>0</v>
      </c>
      <c r="AI96" s="27">
        <f t="shared" si="44"/>
        <v>0</v>
      </c>
      <c r="AJ96" s="27"/>
      <c r="AK96" s="14">
        <f t="shared" si="45"/>
        <v>0</v>
      </c>
      <c r="AM96" s="23">
        <f t="shared" si="47"/>
        <v>46297</v>
      </c>
      <c r="AN96" s="23">
        <f t="shared" si="48"/>
        <v>46297</v>
      </c>
      <c r="AO96" s="23">
        <f t="shared" si="49"/>
        <v>46297</v>
      </c>
      <c r="AQ96" s="16">
        <v>54</v>
      </c>
      <c r="AR96" s="23">
        <f t="shared" si="50"/>
        <v>46297</v>
      </c>
      <c r="AS96" s="23">
        <f t="shared" si="34"/>
        <v>46273</v>
      </c>
    </row>
    <row r="97" spans="1:45" x14ac:dyDescent="0.2">
      <c r="A97" s="40"/>
      <c r="B97" s="30">
        <v>55</v>
      </c>
      <c r="C97" s="59">
        <f t="shared" si="46"/>
        <v>46328</v>
      </c>
      <c r="D97" s="36">
        <f t="shared" si="4"/>
        <v>-6.6927441366715357E-10</v>
      </c>
      <c r="E97" s="33">
        <f t="shared" si="5"/>
        <v>-6.6927441366715357E-10</v>
      </c>
      <c r="F97" s="34">
        <f t="shared" si="37"/>
        <v>-6.6927441366715357E-10</v>
      </c>
      <c r="G97" s="34">
        <f t="shared" si="35"/>
        <v>0</v>
      </c>
      <c r="H97" s="33">
        <f t="shared" si="36"/>
        <v>-6.6927441366715357E-10</v>
      </c>
      <c r="I97" s="34">
        <f t="shared" si="38"/>
        <v>0</v>
      </c>
      <c r="J97" s="34">
        <f t="shared" si="39"/>
        <v>0</v>
      </c>
      <c r="K97" s="34">
        <f t="shared" si="18"/>
        <v>0</v>
      </c>
      <c r="L97" s="34">
        <f t="shared" si="19"/>
        <v>-9.2903788402054481E-12</v>
      </c>
      <c r="M97" s="34">
        <f t="shared" si="20"/>
        <v>-9.2903788402054481E-12</v>
      </c>
      <c r="N97" s="34">
        <f t="shared" si="21"/>
        <v>0</v>
      </c>
      <c r="O97" s="34">
        <f t="shared" si="22"/>
        <v>0</v>
      </c>
      <c r="P97" s="34">
        <f t="shared" si="23"/>
        <v>0</v>
      </c>
      <c r="Q97" s="34">
        <f t="shared" si="24"/>
        <v>0</v>
      </c>
      <c r="R97" s="33">
        <f t="shared" si="25"/>
        <v>0</v>
      </c>
      <c r="S97" s="34"/>
      <c r="T97" s="33">
        <f t="shared" si="26"/>
        <v>-9.2903788402054481E-12</v>
      </c>
      <c r="U97" s="34">
        <f t="shared" si="40"/>
        <v>0</v>
      </c>
      <c r="V97" s="75">
        <f t="shared" si="51"/>
        <v>-1.8580757680410896E-11</v>
      </c>
      <c r="W97" s="48"/>
      <c r="X97" s="20">
        <f t="shared" si="52"/>
        <v>0</v>
      </c>
      <c r="Y97" s="24">
        <f t="shared" si="41"/>
        <v>1</v>
      </c>
      <c r="Z97" s="22">
        <f t="shared" si="33"/>
        <v>1650</v>
      </c>
      <c r="AB97" s="25">
        <f t="shared" si="27"/>
        <v>-9.2903788402054481E-12</v>
      </c>
      <c r="AC97" s="26">
        <f t="shared" si="28"/>
        <v>0</v>
      </c>
      <c r="AD97" s="26">
        <f t="shared" si="42"/>
        <v>0</v>
      </c>
      <c r="AE97" s="26"/>
      <c r="AF97" s="14"/>
      <c r="AH97" s="27">
        <f t="shared" si="43"/>
        <v>0</v>
      </c>
      <c r="AI97" s="27">
        <f t="shared" si="44"/>
        <v>0</v>
      </c>
      <c r="AJ97" s="27"/>
      <c r="AK97" s="14">
        <f t="shared" si="45"/>
        <v>0</v>
      </c>
      <c r="AM97" s="23">
        <f t="shared" si="47"/>
        <v>46328</v>
      </c>
      <c r="AN97" s="23">
        <f t="shared" si="48"/>
        <v>46328</v>
      </c>
      <c r="AO97" s="23">
        <f t="shared" si="49"/>
        <v>46328</v>
      </c>
      <c r="AQ97" s="16">
        <v>55</v>
      </c>
      <c r="AR97" s="23">
        <f t="shared" si="50"/>
        <v>46328</v>
      </c>
      <c r="AS97" s="23">
        <f t="shared" si="34"/>
        <v>46303</v>
      </c>
    </row>
    <row r="98" spans="1:45" x14ac:dyDescent="0.2">
      <c r="A98" s="40"/>
      <c r="B98" s="30">
        <v>56</v>
      </c>
      <c r="C98" s="59">
        <f t="shared" si="46"/>
        <v>46358</v>
      </c>
      <c r="D98" s="36">
        <f t="shared" si="4"/>
        <v>-6.6927441366715357E-10</v>
      </c>
      <c r="E98" s="33">
        <f t="shared" si="5"/>
        <v>-6.6927441366715357E-10</v>
      </c>
      <c r="F98" s="34">
        <f t="shared" si="37"/>
        <v>-6.6927441366715357E-10</v>
      </c>
      <c r="G98" s="34">
        <f t="shared" si="35"/>
        <v>0</v>
      </c>
      <c r="H98" s="33">
        <f t="shared" si="36"/>
        <v>-6.6927441366715357E-10</v>
      </c>
      <c r="I98" s="34">
        <f t="shared" si="38"/>
        <v>0</v>
      </c>
      <c r="J98" s="34">
        <f t="shared" si="39"/>
        <v>0</v>
      </c>
      <c r="K98" s="34">
        <f t="shared" si="18"/>
        <v>0</v>
      </c>
      <c r="L98" s="34">
        <f t="shared" si="19"/>
        <v>-9.2903788402054481E-12</v>
      </c>
      <c r="M98" s="34">
        <f t="shared" si="20"/>
        <v>-9.2903788402054481E-12</v>
      </c>
      <c r="N98" s="34">
        <f t="shared" si="21"/>
        <v>0</v>
      </c>
      <c r="O98" s="34">
        <f t="shared" si="22"/>
        <v>0</v>
      </c>
      <c r="P98" s="34">
        <f t="shared" si="23"/>
        <v>0</v>
      </c>
      <c r="Q98" s="34">
        <f t="shared" si="24"/>
        <v>0</v>
      </c>
      <c r="R98" s="33">
        <f t="shared" si="25"/>
        <v>0</v>
      </c>
      <c r="S98" s="34"/>
      <c r="T98" s="33">
        <f t="shared" si="26"/>
        <v>-9.2903788402054481E-12</v>
      </c>
      <c r="U98" s="34">
        <f t="shared" si="40"/>
        <v>0</v>
      </c>
      <c r="V98" s="75">
        <f t="shared" si="51"/>
        <v>-1.8580757680410896E-11</v>
      </c>
      <c r="W98" s="48"/>
      <c r="X98" s="20">
        <f t="shared" si="52"/>
        <v>0</v>
      </c>
      <c r="Y98" s="24">
        <f t="shared" si="41"/>
        <v>1</v>
      </c>
      <c r="Z98" s="22">
        <f t="shared" si="33"/>
        <v>1680</v>
      </c>
      <c r="AB98" s="25">
        <f t="shared" si="27"/>
        <v>-9.2903788402054481E-12</v>
      </c>
      <c r="AC98" s="26">
        <f t="shared" si="28"/>
        <v>0</v>
      </c>
      <c r="AD98" s="26">
        <f t="shared" si="42"/>
        <v>0</v>
      </c>
      <c r="AE98" s="26"/>
      <c r="AF98" s="14"/>
      <c r="AH98" s="27">
        <f t="shared" si="43"/>
        <v>0</v>
      </c>
      <c r="AI98" s="27">
        <f t="shared" si="44"/>
        <v>0</v>
      </c>
      <c r="AJ98" s="27"/>
      <c r="AK98" s="14">
        <f t="shared" si="45"/>
        <v>0</v>
      </c>
      <c r="AM98" s="23">
        <f t="shared" si="47"/>
        <v>46358</v>
      </c>
      <c r="AN98" s="23">
        <f t="shared" si="48"/>
        <v>46358</v>
      </c>
      <c r="AO98" s="23">
        <f t="shared" si="49"/>
        <v>46358</v>
      </c>
      <c r="AQ98" s="16">
        <v>56</v>
      </c>
      <c r="AR98" s="23">
        <f t="shared" si="50"/>
        <v>46358</v>
      </c>
      <c r="AS98" s="23">
        <f t="shared" si="34"/>
        <v>46333</v>
      </c>
    </row>
    <row r="99" spans="1:45" x14ac:dyDescent="0.2">
      <c r="A99" s="40"/>
      <c r="B99" s="30">
        <v>57</v>
      </c>
      <c r="C99" s="59">
        <f t="shared" si="46"/>
        <v>46389</v>
      </c>
      <c r="D99" s="36">
        <f t="shared" si="4"/>
        <v>-6.6927441366715357E-10</v>
      </c>
      <c r="E99" s="33">
        <f t="shared" si="5"/>
        <v>-6.6927441366715357E-10</v>
      </c>
      <c r="F99" s="34">
        <f t="shared" si="37"/>
        <v>-6.6927441366715357E-10</v>
      </c>
      <c r="G99" s="34">
        <f t="shared" si="35"/>
        <v>0</v>
      </c>
      <c r="H99" s="33">
        <f t="shared" si="36"/>
        <v>-6.6927441366715357E-10</v>
      </c>
      <c r="I99" s="34">
        <f t="shared" si="38"/>
        <v>0</v>
      </c>
      <c r="J99" s="34">
        <f t="shared" si="39"/>
        <v>0</v>
      </c>
      <c r="K99" s="34">
        <f t="shared" si="18"/>
        <v>0</v>
      </c>
      <c r="L99" s="34">
        <f t="shared" si="19"/>
        <v>-9.2903788402054481E-12</v>
      </c>
      <c r="M99" s="34">
        <f t="shared" si="20"/>
        <v>-9.2903788402054481E-12</v>
      </c>
      <c r="N99" s="34">
        <f t="shared" si="21"/>
        <v>0</v>
      </c>
      <c r="O99" s="34">
        <f t="shared" si="22"/>
        <v>0</v>
      </c>
      <c r="P99" s="34">
        <f t="shared" si="23"/>
        <v>0</v>
      </c>
      <c r="Q99" s="34">
        <f t="shared" si="24"/>
        <v>0</v>
      </c>
      <c r="R99" s="33">
        <f t="shared" si="25"/>
        <v>0</v>
      </c>
      <c r="S99" s="34"/>
      <c r="T99" s="33">
        <f t="shared" si="26"/>
        <v>-9.2903788402054481E-12</v>
      </c>
      <c r="U99" s="34">
        <f t="shared" si="40"/>
        <v>0</v>
      </c>
      <c r="V99" s="75">
        <f t="shared" si="51"/>
        <v>-1.8580757680410896E-11</v>
      </c>
      <c r="W99" s="48"/>
      <c r="X99" s="20">
        <f t="shared" si="52"/>
        <v>0</v>
      </c>
      <c r="Y99" s="24">
        <f t="shared" si="41"/>
        <v>1</v>
      </c>
      <c r="Z99" s="22">
        <f t="shared" si="33"/>
        <v>1710</v>
      </c>
      <c r="AB99" s="25">
        <f t="shared" si="27"/>
        <v>-9.2903788402054481E-12</v>
      </c>
      <c r="AC99" s="26">
        <f t="shared" si="28"/>
        <v>0</v>
      </c>
      <c r="AD99" s="26">
        <f t="shared" si="42"/>
        <v>0</v>
      </c>
      <c r="AE99" s="26"/>
      <c r="AF99" s="14"/>
      <c r="AH99" s="27">
        <f t="shared" si="43"/>
        <v>0</v>
      </c>
      <c r="AI99" s="27">
        <f t="shared" si="44"/>
        <v>0</v>
      </c>
      <c r="AJ99" s="27"/>
      <c r="AK99" s="14">
        <f t="shared" si="45"/>
        <v>0</v>
      </c>
      <c r="AM99" s="23">
        <f t="shared" si="47"/>
        <v>46389</v>
      </c>
      <c r="AN99" s="23">
        <f t="shared" si="48"/>
        <v>46389</v>
      </c>
      <c r="AO99" s="23">
        <f t="shared" si="49"/>
        <v>46389</v>
      </c>
      <c r="AQ99" s="16">
        <v>57</v>
      </c>
      <c r="AR99" s="23">
        <f t="shared" si="50"/>
        <v>46389</v>
      </c>
      <c r="AS99" s="23">
        <f t="shared" si="34"/>
        <v>46363</v>
      </c>
    </row>
    <row r="100" spans="1:45" x14ac:dyDescent="0.2">
      <c r="A100" s="40"/>
      <c r="B100" s="30">
        <v>58</v>
      </c>
      <c r="C100" s="59">
        <f t="shared" si="46"/>
        <v>46420</v>
      </c>
      <c r="D100" s="36">
        <f t="shared" si="4"/>
        <v>-6.6927441366715357E-10</v>
      </c>
      <c r="E100" s="33">
        <f t="shared" si="5"/>
        <v>-6.6927441366715357E-10</v>
      </c>
      <c r="F100" s="34">
        <f t="shared" si="37"/>
        <v>-6.6927441366715357E-10</v>
      </c>
      <c r="G100" s="34">
        <f t="shared" si="35"/>
        <v>0</v>
      </c>
      <c r="H100" s="33">
        <f t="shared" si="36"/>
        <v>-6.6927441366715357E-10</v>
      </c>
      <c r="I100" s="34">
        <f t="shared" si="38"/>
        <v>0</v>
      </c>
      <c r="J100" s="34">
        <f t="shared" si="39"/>
        <v>0</v>
      </c>
      <c r="K100" s="34">
        <f t="shared" si="18"/>
        <v>0</v>
      </c>
      <c r="L100" s="34">
        <f t="shared" si="19"/>
        <v>-9.2903788402054481E-12</v>
      </c>
      <c r="M100" s="34">
        <f t="shared" si="20"/>
        <v>-9.2903788402054481E-12</v>
      </c>
      <c r="N100" s="34">
        <f t="shared" si="21"/>
        <v>0</v>
      </c>
      <c r="O100" s="34">
        <f t="shared" si="22"/>
        <v>0</v>
      </c>
      <c r="P100" s="34">
        <f t="shared" si="23"/>
        <v>0</v>
      </c>
      <c r="Q100" s="34">
        <f t="shared" si="24"/>
        <v>0</v>
      </c>
      <c r="R100" s="33">
        <f t="shared" si="25"/>
        <v>0</v>
      </c>
      <c r="S100" s="34"/>
      <c r="T100" s="33">
        <f t="shared" si="26"/>
        <v>-9.2903788402054481E-12</v>
      </c>
      <c r="U100" s="34">
        <f t="shared" si="40"/>
        <v>0</v>
      </c>
      <c r="V100" s="75">
        <f t="shared" si="51"/>
        <v>-1.8580757680410896E-11</v>
      </c>
      <c r="W100" s="48"/>
      <c r="X100" s="20">
        <f t="shared" si="52"/>
        <v>0</v>
      </c>
      <c r="Y100" s="24">
        <f t="shared" si="41"/>
        <v>1</v>
      </c>
      <c r="Z100" s="22">
        <f t="shared" si="33"/>
        <v>1740</v>
      </c>
      <c r="AB100" s="25">
        <f t="shared" si="27"/>
        <v>-9.2903788402054481E-12</v>
      </c>
      <c r="AC100" s="26">
        <f t="shared" si="28"/>
        <v>0</v>
      </c>
      <c r="AD100" s="26">
        <f t="shared" si="42"/>
        <v>0</v>
      </c>
      <c r="AE100" s="26"/>
      <c r="AF100" s="14"/>
      <c r="AH100" s="27">
        <f t="shared" si="43"/>
        <v>0</v>
      </c>
      <c r="AI100" s="27">
        <f t="shared" si="44"/>
        <v>0</v>
      </c>
      <c r="AJ100" s="27"/>
      <c r="AK100" s="14">
        <f t="shared" si="45"/>
        <v>0</v>
      </c>
      <c r="AM100" s="23">
        <f t="shared" si="47"/>
        <v>46420</v>
      </c>
      <c r="AN100" s="23">
        <f t="shared" si="48"/>
        <v>46420</v>
      </c>
      <c r="AO100" s="23">
        <f t="shared" si="49"/>
        <v>46420</v>
      </c>
      <c r="AQ100" s="16">
        <v>58</v>
      </c>
      <c r="AR100" s="23">
        <f t="shared" si="50"/>
        <v>46420</v>
      </c>
      <c r="AS100" s="23">
        <f t="shared" si="34"/>
        <v>46393</v>
      </c>
    </row>
    <row r="101" spans="1:45" x14ac:dyDescent="0.2">
      <c r="A101" s="40"/>
      <c r="B101" s="30">
        <v>59</v>
      </c>
      <c r="C101" s="59">
        <f t="shared" si="46"/>
        <v>46448</v>
      </c>
      <c r="D101" s="36">
        <f t="shared" si="4"/>
        <v>-6.6927441366715357E-10</v>
      </c>
      <c r="E101" s="33">
        <f t="shared" si="5"/>
        <v>-6.6927441366715357E-10</v>
      </c>
      <c r="F101" s="34">
        <f t="shared" si="37"/>
        <v>-6.6927441366715357E-10</v>
      </c>
      <c r="G101" s="34">
        <f t="shared" si="35"/>
        <v>0</v>
      </c>
      <c r="H101" s="33">
        <f t="shared" si="36"/>
        <v>-6.6927441366715357E-10</v>
      </c>
      <c r="I101" s="34">
        <f t="shared" si="38"/>
        <v>0</v>
      </c>
      <c r="J101" s="34">
        <f t="shared" si="39"/>
        <v>0</v>
      </c>
      <c r="K101" s="34">
        <f t="shared" si="18"/>
        <v>0</v>
      </c>
      <c r="L101" s="34">
        <f t="shared" si="19"/>
        <v>-9.2903788402054481E-12</v>
      </c>
      <c r="M101" s="34">
        <f t="shared" si="20"/>
        <v>-9.2903788402054481E-12</v>
      </c>
      <c r="N101" s="34">
        <f t="shared" si="21"/>
        <v>0</v>
      </c>
      <c r="O101" s="34">
        <f t="shared" si="22"/>
        <v>0</v>
      </c>
      <c r="P101" s="34">
        <f t="shared" si="23"/>
        <v>0</v>
      </c>
      <c r="Q101" s="34">
        <f t="shared" si="24"/>
        <v>0</v>
      </c>
      <c r="R101" s="33">
        <f t="shared" si="25"/>
        <v>0</v>
      </c>
      <c r="S101" s="34"/>
      <c r="T101" s="33">
        <f t="shared" si="26"/>
        <v>-9.2903788402054481E-12</v>
      </c>
      <c r="U101" s="34">
        <f t="shared" si="40"/>
        <v>0</v>
      </c>
      <c r="V101" s="75">
        <f t="shared" si="51"/>
        <v>-1.8580757680410896E-11</v>
      </c>
      <c r="W101" s="48"/>
      <c r="X101" s="20">
        <f t="shared" si="52"/>
        <v>0</v>
      </c>
      <c r="Y101" s="24">
        <f t="shared" si="41"/>
        <v>1</v>
      </c>
      <c r="Z101" s="22">
        <f t="shared" si="33"/>
        <v>1770</v>
      </c>
      <c r="AB101" s="25">
        <f t="shared" si="27"/>
        <v>-9.2903788402054481E-12</v>
      </c>
      <c r="AC101" s="26">
        <f t="shared" si="28"/>
        <v>0</v>
      </c>
      <c r="AD101" s="26">
        <f t="shared" si="42"/>
        <v>0</v>
      </c>
      <c r="AE101" s="26"/>
      <c r="AF101" s="14"/>
      <c r="AH101" s="27">
        <f t="shared" si="43"/>
        <v>0</v>
      </c>
      <c r="AI101" s="27">
        <f t="shared" si="44"/>
        <v>0</v>
      </c>
      <c r="AJ101" s="27"/>
      <c r="AK101" s="14">
        <f t="shared" si="45"/>
        <v>0</v>
      </c>
      <c r="AM101" s="23">
        <f t="shared" si="47"/>
        <v>46448</v>
      </c>
      <c r="AN101" s="23">
        <f t="shared" si="48"/>
        <v>46448</v>
      </c>
      <c r="AO101" s="23">
        <f t="shared" si="49"/>
        <v>46448</v>
      </c>
      <c r="AQ101" s="16">
        <v>59</v>
      </c>
      <c r="AR101" s="23">
        <f t="shared" si="50"/>
        <v>46448</v>
      </c>
      <c r="AS101" s="23">
        <f t="shared" si="34"/>
        <v>46423</v>
      </c>
    </row>
    <row r="102" spans="1:45" x14ac:dyDescent="0.2">
      <c r="A102" s="40"/>
      <c r="B102" s="30">
        <v>60</v>
      </c>
      <c r="C102" s="59">
        <f t="shared" si="46"/>
        <v>46479</v>
      </c>
      <c r="D102" s="36">
        <f t="shared" si="4"/>
        <v>-6.6927441366715357E-10</v>
      </c>
      <c r="E102" s="33">
        <f t="shared" si="5"/>
        <v>-6.6927441366715357E-10</v>
      </c>
      <c r="F102" s="34">
        <f t="shared" si="37"/>
        <v>-6.6927441366715357E-10</v>
      </c>
      <c r="G102" s="34">
        <f t="shared" si="35"/>
        <v>0</v>
      </c>
      <c r="H102" s="33">
        <f t="shared" si="36"/>
        <v>-6.6927441366715357E-10</v>
      </c>
      <c r="I102" s="34">
        <f t="shared" si="38"/>
        <v>0</v>
      </c>
      <c r="J102" s="34">
        <f t="shared" si="39"/>
        <v>0</v>
      </c>
      <c r="K102" s="34">
        <f t="shared" si="18"/>
        <v>0</v>
      </c>
      <c r="L102" s="34">
        <f t="shared" si="19"/>
        <v>-9.2903788402054481E-12</v>
      </c>
      <c r="M102" s="34">
        <f t="shared" si="20"/>
        <v>-9.2903788402054481E-12</v>
      </c>
      <c r="N102" s="34">
        <f t="shared" si="21"/>
        <v>0</v>
      </c>
      <c r="O102" s="34">
        <f t="shared" si="22"/>
        <v>0</v>
      </c>
      <c r="P102" s="34">
        <f t="shared" si="23"/>
        <v>0</v>
      </c>
      <c r="Q102" s="34">
        <f t="shared" si="24"/>
        <v>0</v>
      </c>
      <c r="R102" s="33">
        <f t="shared" si="25"/>
        <v>0</v>
      </c>
      <c r="S102" s="34"/>
      <c r="T102" s="33">
        <f t="shared" si="26"/>
        <v>-9.2903788402054481E-12</v>
      </c>
      <c r="U102" s="34">
        <f t="shared" si="40"/>
        <v>0</v>
      </c>
      <c r="V102" s="75">
        <f t="shared" si="51"/>
        <v>-1.8580757680410896E-11</v>
      </c>
      <c r="W102" s="48"/>
      <c r="X102" s="20">
        <f t="shared" si="52"/>
        <v>0</v>
      </c>
      <c r="Y102" s="24">
        <f t="shared" si="41"/>
        <v>1</v>
      </c>
      <c r="Z102" s="22">
        <f t="shared" si="33"/>
        <v>1800</v>
      </c>
      <c r="AB102" s="25">
        <f t="shared" si="27"/>
        <v>-9.2903788402054481E-12</v>
      </c>
      <c r="AC102" s="26">
        <f t="shared" si="28"/>
        <v>0</v>
      </c>
      <c r="AD102" s="26">
        <f t="shared" si="42"/>
        <v>0</v>
      </c>
      <c r="AE102" s="26"/>
      <c r="AF102" s="14"/>
      <c r="AH102" s="27">
        <f t="shared" si="43"/>
        <v>0</v>
      </c>
      <c r="AI102" s="27">
        <f t="shared" si="44"/>
        <v>0</v>
      </c>
      <c r="AJ102" s="27"/>
      <c r="AK102" s="14">
        <f t="shared" si="45"/>
        <v>0</v>
      </c>
      <c r="AM102" s="23">
        <f t="shared" si="47"/>
        <v>46479</v>
      </c>
      <c r="AN102" s="23">
        <f t="shared" si="48"/>
        <v>46479</v>
      </c>
      <c r="AO102" s="23">
        <f t="shared" si="49"/>
        <v>46479</v>
      </c>
      <c r="AQ102" s="16">
        <v>60</v>
      </c>
      <c r="AR102" s="23">
        <f t="shared" si="50"/>
        <v>46479</v>
      </c>
      <c r="AS102" s="23">
        <f t="shared" si="34"/>
        <v>46453</v>
      </c>
    </row>
    <row r="103" spans="1:45" x14ac:dyDescent="0.2">
      <c r="A103" s="40"/>
      <c r="B103" s="30">
        <v>61</v>
      </c>
      <c r="C103" s="59">
        <f t="shared" si="46"/>
        <v>46509</v>
      </c>
      <c r="D103" s="36">
        <f t="shared" si="4"/>
        <v>-6.6927441366715357E-10</v>
      </c>
      <c r="E103" s="33">
        <f t="shared" si="5"/>
        <v>-6.6927441366715357E-10</v>
      </c>
      <c r="F103" s="34">
        <f t="shared" si="37"/>
        <v>-6.6927441366715357E-10</v>
      </c>
      <c r="G103" s="34">
        <f t="shared" si="35"/>
        <v>0</v>
      </c>
      <c r="H103" s="33">
        <f t="shared" si="36"/>
        <v>-6.6927441366715357E-10</v>
      </c>
      <c r="I103" s="34">
        <f t="shared" si="38"/>
        <v>0</v>
      </c>
      <c r="J103" s="34">
        <f t="shared" si="39"/>
        <v>0</v>
      </c>
      <c r="K103" s="34">
        <f t="shared" si="18"/>
        <v>0</v>
      </c>
      <c r="L103" s="34">
        <f t="shared" si="19"/>
        <v>-9.2903788402054481E-12</v>
      </c>
      <c r="M103" s="34">
        <f t="shared" si="20"/>
        <v>-9.2903788402054481E-12</v>
      </c>
      <c r="N103" s="34">
        <f t="shared" si="21"/>
        <v>0</v>
      </c>
      <c r="O103" s="34">
        <f t="shared" si="22"/>
        <v>0</v>
      </c>
      <c r="P103" s="34">
        <f t="shared" si="23"/>
        <v>0</v>
      </c>
      <c r="Q103" s="34">
        <f t="shared" si="24"/>
        <v>0</v>
      </c>
      <c r="R103" s="33">
        <f t="shared" si="25"/>
        <v>0</v>
      </c>
      <c r="S103" s="34"/>
      <c r="T103" s="33">
        <f t="shared" si="26"/>
        <v>-9.2903788402054481E-12</v>
      </c>
      <c r="U103" s="34">
        <f t="shared" si="40"/>
        <v>0</v>
      </c>
      <c r="V103" s="75">
        <f t="shared" si="51"/>
        <v>-1.8580757680410896E-11</v>
      </c>
      <c r="W103" s="48"/>
      <c r="X103" s="20">
        <f t="shared" si="52"/>
        <v>0</v>
      </c>
      <c r="Y103" s="24">
        <f t="shared" si="41"/>
        <v>1</v>
      </c>
      <c r="Z103" s="22">
        <f t="shared" si="33"/>
        <v>1830</v>
      </c>
      <c r="AB103" s="25">
        <f t="shared" si="27"/>
        <v>-9.2903788402054481E-12</v>
      </c>
      <c r="AC103" s="26">
        <f t="shared" si="28"/>
        <v>0</v>
      </c>
      <c r="AD103" s="26">
        <f t="shared" si="42"/>
        <v>0</v>
      </c>
      <c r="AE103" s="26"/>
      <c r="AF103" s="14"/>
      <c r="AH103" s="27">
        <f t="shared" si="43"/>
        <v>0</v>
      </c>
      <c r="AI103" s="27">
        <f t="shared" si="44"/>
        <v>0</v>
      </c>
      <c r="AJ103" s="27"/>
      <c r="AK103" s="14">
        <f t="shared" si="45"/>
        <v>0</v>
      </c>
      <c r="AM103" s="23">
        <f t="shared" si="47"/>
        <v>46509</v>
      </c>
      <c r="AN103" s="23">
        <f t="shared" si="48"/>
        <v>46509</v>
      </c>
      <c r="AO103" s="23">
        <f t="shared" si="49"/>
        <v>46509</v>
      </c>
      <c r="AQ103" s="16">
        <v>61</v>
      </c>
      <c r="AR103" s="23">
        <f t="shared" si="50"/>
        <v>46509</v>
      </c>
      <c r="AS103" s="23">
        <f t="shared" si="34"/>
        <v>46483</v>
      </c>
    </row>
    <row r="104" spans="1:45" x14ac:dyDescent="0.2">
      <c r="A104" s="40"/>
      <c r="B104" s="30">
        <v>62</v>
      </c>
      <c r="C104" s="59">
        <f t="shared" si="46"/>
        <v>46540</v>
      </c>
      <c r="D104" s="36">
        <f t="shared" si="4"/>
        <v>-6.6927441366715357E-10</v>
      </c>
      <c r="E104" s="33">
        <f t="shared" si="5"/>
        <v>-6.6927441366715357E-10</v>
      </c>
      <c r="F104" s="34">
        <f t="shared" si="37"/>
        <v>-6.6927441366715357E-10</v>
      </c>
      <c r="G104" s="34">
        <f t="shared" si="35"/>
        <v>0</v>
      </c>
      <c r="H104" s="33">
        <f t="shared" si="36"/>
        <v>-6.6927441366715357E-10</v>
      </c>
      <c r="I104" s="34">
        <f t="shared" si="38"/>
        <v>0</v>
      </c>
      <c r="J104" s="34">
        <f t="shared" si="39"/>
        <v>0</v>
      </c>
      <c r="K104" s="34">
        <f t="shared" si="18"/>
        <v>0</v>
      </c>
      <c r="L104" s="34">
        <f t="shared" si="19"/>
        <v>-9.2903788402054481E-12</v>
      </c>
      <c r="M104" s="34">
        <f t="shared" si="20"/>
        <v>-9.2903788402054481E-12</v>
      </c>
      <c r="N104" s="34">
        <f t="shared" si="21"/>
        <v>0</v>
      </c>
      <c r="O104" s="34">
        <f t="shared" si="22"/>
        <v>0</v>
      </c>
      <c r="P104" s="34">
        <f t="shared" si="23"/>
        <v>0</v>
      </c>
      <c r="Q104" s="34">
        <f t="shared" si="24"/>
        <v>0</v>
      </c>
      <c r="R104" s="33">
        <f t="shared" si="25"/>
        <v>0</v>
      </c>
      <c r="S104" s="34"/>
      <c r="T104" s="33">
        <f t="shared" si="26"/>
        <v>-9.2903788402054481E-12</v>
      </c>
      <c r="U104" s="34">
        <f t="shared" si="40"/>
        <v>0</v>
      </c>
      <c r="V104" s="75">
        <f t="shared" si="51"/>
        <v>-1.8580757680410896E-11</v>
      </c>
      <c r="W104" s="48"/>
      <c r="X104" s="20">
        <f t="shared" si="52"/>
        <v>0</v>
      </c>
      <c r="Y104" s="24">
        <f t="shared" si="41"/>
        <v>1</v>
      </c>
      <c r="Z104" s="22">
        <f t="shared" si="33"/>
        <v>1860</v>
      </c>
      <c r="AB104" s="25">
        <f t="shared" si="27"/>
        <v>-9.2903788402054481E-12</v>
      </c>
      <c r="AC104" s="26">
        <f t="shared" si="28"/>
        <v>0</v>
      </c>
      <c r="AD104" s="26">
        <f t="shared" si="42"/>
        <v>0</v>
      </c>
      <c r="AE104" s="26"/>
      <c r="AF104" s="14"/>
      <c r="AH104" s="27">
        <f t="shared" si="43"/>
        <v>0</v>
      </c>
      <c r="AI104" s="27">
        <f t="shared" si="44"/>
        <v>0</v>
      </c>
      <c r="AJ104" s="27"/>
      <c r="AK104" s="14">
        <f t="shared" si="45"/>
        <v>0</v>
      </c>
      <c r="AM104" s="23">
        <f t="shared" si="47"/>
        <v>46540</v>
      </c>
      <c r="AN104" s="23">
        <f t="shared" si="48"/>
        <v>46540</v>
      </c>
      <c r="AO104" s="23">
        <f t="shared" si="49"/>
        <v>46540</v>
      </c>
      <c r="AQ104" s="16">
        <v>62</v>
      </c>
      <c r="AR104" s="23">
        <f t="shared" si="50"/>
        <v>46540</v>
      </c>
      <c r="AS104" s="23">
        <f t="shared" si="34"/>
        <v>46513</v>
      </c>
    </row>
    <row r="105" spans="1:45" x14ac:dyDescent="0.2">
      <c r="A105" s="40"/>
      <c r="B105" s="30">
        <v>63</v>
      </c>
      <c r="C105" s="59">
        <f t="shared" si="46"/>
        <v>46570</v>
      </c>
      <c r="D105" s="36">
        <f t="shared" si="4"/>
        <v>-6.6927441366715357E-10</v>
      </c>
      <c r="E105" s="33">
        <f t="shared" si="5"/>
        <v>-6.6927441366715357E-10</v>
      </c>
      <c r="F105" s="34">
        <f t="shared" si="37"/>
        <v>-6.6927441366715357E-10</v>
      </c>
      <c r="G105" s="34">
        <f t="shared" si="35"/>
        <v>0</v>
      </c>
      <c r="H105" s="33">
        <f t="shared" si="36"/>
        <v>-6.6927441366715357E-10</v>
      </c>
      <c r="I105" s="34">
        <f t="shared" si="38"/>
        <v>0</v>
      </c>
      <c r="J105" s="34">
        <f t="shared" si="39"/>
        <v>0</v>
      </c>
      <c r="K105" s="34">
        <f t="shared" si="18"/>
        <v>0</v>
      </c>
      <c r="L105" s="34">
        <f t="shared" si="19"/>
        <v>-9.2903788402054481E-12</v>
      </c>
      <c r="M105" s="34">
        <f t="shared" si="20"/>
        <v>-9.2903788402054481E-12</v>
      </c>
      <c r="N105" s="34">
        <f t="shared" si="21"/>
        <v>0</v>
      </c>
      <c r="O105" s="34">
        <f t="shared" si="22"/>
        <v>0</v>
      </c>
      <c r="P105" s="34">
        <f t="shared" si="23"/>
        <v>0</v>
      </c>
      <c r="Q105" s="34">
        <f t="shared" si="24"/>
        <v>0</v>
      </c>
      <c r="R105" s="33">
        <f t="shared" si="25"/>
        <v>0</v>
      </c>
      <c r="S105" s="34"/>
      <c r="T105" s="33">
        <f t="shared" si="26"/>
        <v>-9.2903788402054481E-12</v>
      </c>
      <c r="U105" s="34">
        <f t="shared" si="40"/>
        <v>0</v>
      </c>
      <c r="V105" s="75">
        <f t="shared" si="51"/>
        <v>-1.8580757680410896E-11</v>
      </c>
      <c r="W105" s="48"/>
      <c r="X105" s="20">
        <f t="shared" si="52"/>
        <v>0</v>
      </c>
      <c r="Y105" s="24">
        <f t="shared" si="41"/>
        <v>1</v>
      </c>
      <c r="Z105" s="22">
        <f t="shared" si="33"/>
        <v>1890</v>
      </c>
      <c r="AB105" s="25">
        <f t="shared" si="27"/>
        <v>-9.2903788402054481E-12</v>
      </c>
      <c r="AC105" s="26">
        <f t="shared" si="28"/>
        <v>0</v>
      </c>
      <c r="AD105" s="26">
        <f t="shared" si="42"/>
        <v>0</v>
      </c>
      <c r="AE105" s="26"/>
      <c r="AF105" s="14"/>
      <c r="AH105" s="27">
        <f t="shared" si="43"/>
        <v>0</v>
      </c>
      <c r="AI105" s="27">
        <f t="shared" si="44"/>
        <v>0</v>
      </c>
      <c r="AJ105" s="27"/>
      <c r="AK105" s="14">
        <f t="shared" si="45"/>
        <v>0</v>
      </c>
      <c r="AM105" s="23">
        <f t="shared" si="47"/>
        <v>46570</v>
      </c>
      <c r="AN105" s="23">
        <f t="shared" si="48"/>
        <v>46570</v>
      </c>
      <c r="AO105" s="23">
        <f t="shared" si="49"/>
        <v>46570</v>
      </c>
      <c r="AQ105" s="16">
        <v>63</v>
      </c>
      <c r="AR105" s="23">
        <f t="shared" si="50"/>
        <v>46570</v>
      </c>
      <c r="AS105" s="23">
        <f t="shared" si="34"/>
        <v>46543</v>
      </c>
    </row>
    <row r="106" spans="1:45" x14ac:dyDescent="0.2">
      <c r="A106" s="40"/>
      <c r="B106" s="30">
        <v>64</v>
      </c>
      <c r="C106" s="59">
        <f t="shared" si="46"/>
        <v>46601</v>
      </c>
      <c r="D106" s="36">
        <f t="shared" si="4"/>
        <v>-6.6927441366715357E-10</v>
      </c>
      <c r="E106" s="33">
        <f t="shared" si="5"/>
        <v>-6.6927441366715357E-10</v>
      </c>
      <c r="F106" s="34">
        <f t="shared" si="37"/>
        <v>-6.6927441366715357E-10</v>
      </c>
      <c r="G106" s="34">
        <f t="shared" ref="G106:G114" si="53">IF(B106&lt;=$E$26,$E$15,0)</f>
        <v>0</v>
      </c>
      <c r="H106" s="33">
        <f t="shared" ref="H106:H114" si="54">+F106-I106</f>
        <v>-6.6927441366715357E-10</v>
      </c>
      <c r="I106" s="34">
        <f t="shared" si="38"/>
        <v>0</v>
      </c>
      <c r="J106" s="34">
        <f t="shared" si="39"/>
        <v>0</v>
      </c>
      <c r="K106" s="34">
        <f t="shared" si="18"/>
        <v>0</v>
      </c>
      <c r="L106" s="34">
        <f t="shared" si="19"/>
        <v>-9.2903788402054481E-12</v>
      </c>
      <c r="M106" s="34">
        <f t="shared" si="20"/>
        <v>-9.2903788402054481E-12</v>
      </c>
      <c r="N106" s="34">
        <f t="shared" si="21"/>
        <v>0</v>
      </c>
      <c r="O106" s="34">
        <f t="shared" si="22"/>
        <v>0</v>
      </c>
      <c r="P106" s="34">
        <f t="shared" si="23"/>
        <v>0</v>
      </c>
      <c r="Q106" s="34">
        <f t="shared" si="24"/>
        <v>0</v>
      </c>
      <c r="R106" s="33">
        <f t="shared" si="25"/>
        <v>0</v>
      </c>
      <c r="S106" s="34"/>
      <c r="T106" s="33">
        <f t="shared" si="26"/>
        <v>-9.2903788402054481E-12</v>
      </c>
      <c r="U106" s="34">
        <f t="shared" si="40"/>
        <v>0</v>
      </c>
      <c r="V106" s="75">
        <f t="shared" si="51"/>
        <v>-1.8580757680410896E-11</v>
      </c>
      <c r="W106" s="48"/>
      <c r="X106" s="20">
        <f t="shared" si="52"/>
        <v>0</v>
      </c>
      <c r="Y106" s="24">
        <f t="shared" si="41"/>
        <v>1</v>
      </c>
      <c r="Z106" s="22">
        <f t="shared" si="33"/>
        <v>1920</v>
      </c>
      <c r="AB106" s="25">
        <f t="shared" si="27"/>
        <v>-9.2903788402054481E-12</v>
      </c>
      <c r="AC106" s="26">
        <f t="shared" si="28"/>
        <v>0</v>
      </c>
      <c r="AD106" s="26">
        <f t="shared" si="42"/>
        <v>0</v>
      </c>
      <c r="AE106" s="26"/>
      <c r="AF106" s="14"/>
      <c r="AH106" s="27">
        <f t="shared" si="43"/>
        <v>0</v>
      </c>
      <c r="AI106" s="27">
        <f t="shared" si="44"/>
        <v>0</v>
      </c>
      <c r="AJ106" s="27"/>
      <c r="AK106" s="14">
        <f t="shared" si="45"/>
        <v>0</v>
      </c>
      <c r="AM106" s="23">
        <f t="shared" si="47"/>
        <v>46601</v>
      </c>
      <c r="AN106" s="23">
        <f t="shared" si="48"/>
        <v>46601</v>
      </c>
      <c r="AO106" s="23">
        <f t="shared" si="49"/>
        <v>46601</v>
      </c>
      <c r="AQ106" s="16">
        <v>64</v>
      </c>
      <c r="AR106" s="23">
        <f t="shared" si="50"/>
        <v>46601</v>
      </c>
      <c r="AS106" s="23">
        <f t="shared" si="34"/>
        <v>46573</v>
      </c>
    </row>
    <row r="107" spans="1:45" x14ac:dyDescent="0.2">
      <c r="A107" s="40"/>
      <c r="B107" s="30">
        <v>65</v>
      </c>
      <c r="C107" s="59">
        <f t="shared" si="46"/>
        <v>46632</v>
      </c>
      <c r="D107" s="36">
        <f t="shared" ref="D107:D114" si="55">+F107+G107</f>
        <v>-6.6927441366715357E-10</v>
      </c>
      <c r="E107" s="33">
        <f t="shared" ref="E107:E114" si="56">+D107-SUM(I107:J107)</f>
        <v>-6.6927441366715357E-10</v>
      </c>
      <c r="F107" s="34">
        <f t="shared" ref="F107:F114" si="57">+H106</f>
        <v>-6.6927441366715357E-10</v>
      </c>
      <c r="G107" s="34">
        <f t="shared" si="53"/>
        <v>0</v>
      </c>
      <c r="H107" s="33">
        <f t="shared" si="54"/>
        <v>-6.6927441366715357E-10</v>
      </c>
      <c r="I107" s="34">
        <f t="shared" ref="I107:I114" si="58">+IF(B107&lt;=$F$26,$E$27-M107-O107,0)</f>
        <v>0</v>
      </c>
      <c r="J107" s="34">
        <f t="shared" ref="J107:J114" si="59">+IF(B107=$E$26,G107,0)</f>
        <v>0</v>
      </c>
      <c r="K107" s="34">
        <f t="shared" si="18"/>
        <v>0</v>
      </c>
      <c r="L107" s="34">
        <f t="shared" si="19"/>
        <v>-9.2903788402054481E-12</v>
      </c>
      <c r="M107" s="34">
        <f t="shared" si="20"/>
        <v>-9.2903788402054481E-12</v>
      </c>
      <c r="N107" s="34">
        <f t="shared" si="21"/>
        <v>0</v>
      </c>
      <c r="O107" s="34">
        <f t="shared" si="22"/>
        <v>0</v>
      </c>
      <c r="P107" s="34">
        <f t="shared" si="23"/>
        <v>0</v>
      </c>
      <c r="Q107" s="34">
        <f t="shared" si="24"/>
        <v>0</v>
      </c>
      <c r="R107" s="33">
        <f t="shared" si="25"/>
        <v>0</v>
      </c>
      <c r="S107" s="34"/>
      <c r="T107" s="33">
        <f t="shared" si="26"/>
        <v>-9.2903788402054481E-12</v>
      </c>
      <c r="U107" s="34">
        <f t="shared" ref="U107:U114" si="60">+IF(B107&lt;=$E$26,$E$29,0)</f>
        <v>0</v>
      </c>
      <c r="V107" s="75">
        <f t="shared" si="51"/>
        <v>-1.8580757680410896E-11</v>
      </c>
      <c r="W107" s="48"/>
      <c r="X107" s="20">
        <f t="shared" si="52"/>
        <v>0</v>
      </c>
      <c r="Y107" s="24">
        <f t="shared" ref="Y107:Y114" si="61">VLOOKUP(MONTH(C107),$Y$17:$Z$34,2,0)</f>
        <v>1</v>
      </c>
      <c r="Z107" s="22">
        <f t="shared" si="33"/>
        <v>1950</v>
      </c>
      <c r="AB107" s="25">
        <f t="shared" si="27"/>
        <v>-9.2903788402054481E-12</v>
      </c>
      <c r="AC107" s="26">
        <f t="shared" si="28"/>
        <v>0</v>
      </c>
      <c r="AD107" s="26">
        <f t="shared" ref="AD107:AD114" si="62">G107*((1+$E$24)^((C107-C106)/360)-1)+AC106*((1+$E$24)^((C107-C106)/360)-0)</f>
        <v>0</v>
      </c>
      <c r="AE107" s="26"/>
      <c r="AF107" s="14"/>
      <c r="AH107" s="27">
        <f t="shared" ref="AH107:AH114" si="63">IF(B107&lt;=$F$26,F107*((1+$G$25)^(Z107-Z106) -1),0)</f>
        <v>0</v>
      </c>
      <c r="AI107" s="27">
        <f t="shared" ref="AI107:AI114" si="64">ROUND(IF(B107&lt;=$E$26,G107*((1+$G$25)^(Z107-Z106) -1),0),2)</f>
        <v>0</v>
      </c>
      <c r="AJ107" s="27"/>
      <c r="AK107" s="14">
        <f t="shared" ref="AK107:AK114" si="65">IF(B107&lt;=$E$26,ROUND($E$33*$E$9/12,8),0)</f>
        <v>0</v>
      </c>
      <c r="AM107" s="23">
        <f t="shared" si="47"/>
        <v>46632</v>
      </c>
      <c r="AN107" s="23">
        <f t="shared" si="48"/>
        <v>46632</v>
      </c>
      <c r="AO107" s="23">
        <f t="shared" si="49"/>
        <v>46632</v>
      </c>
      <c r="AQ107" s="16">
        <v>65</v>
      </c>
      <c r="AR107" s="23">
        <f t="shared" si="50"/>
        <v>46632</v>
      </c>
      <c r="AS107" s="23">
        <f t="shared" si="34"/>
        <v>46603</v>
      </c>
    </row>
    <row r="108" spans="1:45" x14ac:dyDescent="0.2">
      <c r="A108" s="40"/>
      <c r="B108" s="30">
        <v>66</v>
      </c>
      <c r="C108" s="59">
        <f t="shared" si="46"/>
        <v>46662</v>
      </c>
      <c r="D108" s="36">
        <f t="shared" si="55"/>
        <v>-6.6927441366715357E-10</v>
      </c>
      <c r="E108" s="33">
        <f t="shared" si="56"/>
        <v>-6.6927441366715357E-10</v>
      </c>
      <c r="F108" s="34">
        <f t="shared" si="57"/>
        <v>-6.6927441366715357E-10</v>
      </c>
      <c r="G108" s="34">
        <f t="shared" si="53"/>
        <v>0</v>
      </c>
      <c r="H108" s="33">
        <f t="shared" si="54"/>
        <v>-6.6927441366715357E-10</v>
      </c>
      <c r="I108" s="34">
        <f t="shared" si="58"/>
        <v>0</v>
      </c>
      <c r="J108" s="34">
        <f t="shared" si="59"/>
        <v>0</v>
      </c>
      <c r="K108" s="34">
        <f t="shared" ref="K108:K114" si="66">+SUM(I108:J108)</f>
        <v>0</v>
      </c>
      <c r="L108" s="34">
        <f t="shared" ref="L108:L114" si="67">+SUM(M108:N108)</f>
        <v>-9.2903788402054481E-12</v>
      </c>
      <c r="M108" s="34">
        <f t="shared" ref="M108:M114" si="68">IF($E$27*Y108-O108&lt;AB108,$E$27*Y108-O108,AB108)</f>
        <v>-9.2903788402054481E-12</v>
      </c>
      <c r="N108" s="34">
        <f t="shared" ref="N108:N113" si="69">G108*((1+$E$24)^((1)/12)-1)</f>
        <v>0</v>
      </c>
      <c r="O108" s="34">
        <f t="shared" ref="O108:O114" si="70">+AH108</f>
        <v>0</v>
      </c>
      <c r="P108" s="34">
        <f t="shared" ref="P108:P114" si="71">ROUND(AI108,2)</f>
        <v>0</v>
      </c>
      <c r="Q108" s="34">
        <f t="shared" ref="Q108:Q114" si="72">+SUM(O108:P108)</f>
        <v>0</v>
      </c>
      <c r="R108" s="33">
        <f t="shared" ref="R108:R114" si="73">ROUND(AK108,2)</f>
        <v>0</v>
      </c>
      <c r="S108" s="34"/>
      <c r="T108" s="33">
        <f t="shared" ref="T108:T114" si="74">+M108+I108+O108</f>
        <v>-9.2903788402054481E-12</v>
      </c>
      <c r="U108" s="34">
        <f t="shared" si="60"/>
        <v>0</v>
      </c>
      <c r="V108" s="75">
        <f t="shared" si="51"/>
        <v>-1.8580757680410896E-11</v>
      </c>
      <c r="W108" s="48"/>
      <c r="X108" s="20">
        <f t="shared" si="52"/>
        <v>0</v>
      </c>
      <c r="Y108" s="24">
        <f t="shared" si="61"/>
        <v>1</v>
      </c>
      <c r="Z108" s="22">
        <f t="shared" si="33"/>
        <v>1980</v>
      </c>
      <c r="AB108" s="25">
        <f t="shared" ref="AB108:AB114" si="75">F108*$G$24</f>
        <v>-9.2903788402054481E-12</v>
      </c>
      <c r="AC108" s="26">
        <f t="shared" ref="AC108:AC114" si="76">ROUND(AB108-M108,2)</f>
        <v>0</v>
      </c>
      <c r="AD108" s="26">
        <f t="shared" si="62"/>
        <v>0</v>
      </c>
      <c r="AE108" s="26"/>
      <c r="AF108" s="14"/>
      <c r="AH108" s="27">
        <f t="shared" si="63"/>
        <v>0</v>
      </c>
      <c r="AI108" s="27">
        <f t="shared" si="64"/>
        <v>0</v>
      </c>
      <c r="AJ108" s="27"/>
      <c r="AK108" s="14">
        <f t="shared" si="65"/>
        <v>0</v>
      </c>
      <c r="AM108" s="23">
        <f t="shared" ref="AM108:AM114" si="77">IF($E$17="Mensual",C107+30,DATE(YEAR(C107),MONTH(C107)+1,DAY(C107)))</f>
        <v>46662</v>
      </c>
      <c r="AN108" s="23">
        <f t="shared" ref="AN108:AN114" si="78">IF($L$17=31,DATE(YEAR(AN107),MONTH(AN107)+2,0),AM108)</f>
        <v>46662</v>
      </c>
      <c r="AO108" s="23">
        <f t="shared" ref="AO108:AO114" si="79">IF(AND(MONTH(AO107)+1=2,OR($L$17=29,$L$17=30)),DATE(YEAR(AO107),MONTH(AO107)+2,0),DATE(YEAR(AO107),MONTH(AO107)+1,DAY($L$17)))</f>
        <v>46662</v>
      </c>
      <c r="AQ108" s="16">
        <v>66</v>
      </c>
      <c r="AR108" s="23">
        <f t="shared" ref="AR108:AR115" si="80">IF(DAY(EOMONTH(C107,1))&lt;$L$17,DATE(YEAR(C107),MONTH(C107)+2,0),DATE(YEAR(C107),MONTH(C107)+1,DAY($L$17)))</f>
        <v>46662</v>
      </c>
      <c r="AS108" s="23">
        <f t="shared" si="34"/>
        <v>46633</v>
      </c>
    </row>
    <row r="109" spans="1:45" x14ac:dyDescent="0.2">
      <c r="A109" s="40"/>
      <c r="B109" s="30">
        <v>67</v>
      </c>
      <c r="C109" s="59">
        <f t="shared" ref="C109:C114" si="81">IF($E$17="Año Base 360",AS109,AR109)</f>
        <v>46693</v>
      </c>
      <c r="D109" s="36">
        <f t="shared" si="55"/>
        <v>-6.6927441366715357E-10</v>
      </c>
      <c r="E109" s="33">
        <f t="shared" si="56"/>
        <v>-6.6927441366715357E-10</v>
      </c>
      <c r="F109" s="34">
        <f t="shared" si="57"/>
        <v>-6.6927441366715357E-10</v>
      </c>
      <c r="G109" s="34">
        <f t="shared" si="53"/>
        <v>0</v>
      </c>
      <c r="H109" s="33">
        <f t="shared" si="54"/>
        <v>-6.6927441366715357E-10</v>
      </c>
      <c r="I109" s="34">
        <f t="shared" si="58"/>
        <v>0</v>
      </c>
      <c r="J109" s="34">
        <f t="shared" si="59"/>
        <v>0</v>
      </c>
      <c r="K109" s="34">
        <f t="shared" si="66"/>
        <v>0</v>
      </c>
      <c r="L109" s="34">
        <f t="shared" si="67"/>
        <v>-9.2903788402054481E-12</v>
      </c>
      <c r="M109" s="34">
        <f t="shared" si="68"/>
        <v>-9.2903788402054481E-12</v>
      </c>
      <c r="N109" s="34">
        <f t="shared" si="69"/>
        <v>0</v>
      </c>
      <c r="O109" s="34">
        <f t="shared" si="70"/>
        <v>0</v>
      </c>
      <c r="P109" s="34">
        <f t="shared" si="71"/>
        <v>0</v>
      </c>
      <c r="Q109" s="34">
        <f t="shared" si="72"/>
        <v>0</v>
      </c>
      <c r="R109" s="33">
        <f t="shared" si="73"/>
        <v>0</v>
      </c>
      <c r="S109" s="34"/>
      <c r="T109" s="33">
        <f t="shared" si="74"/>
        <v>-9.2903788402054481E-12</v>
      </c>
      <c r="U109" s="34">
        <f t="shared" si="60"/>
        <v>0</v>
      </c>
      <c r="V109" s="75">
        <f t="shared" si="51"/>
        <v>-1.8580757680410896E-11</v>
      </c>
      <c r="W109" s="48"/>
      <c r="X109" s="20">
        <f t="shared" si="52"/>
        <v>0</v>
      </c>
      <c r="Y109" s="24">
        <f t="shared" si="61"/>
        <v>1</v>
      </c>
      <c r="Z109" s="22">
        <f t="shared" ref="Z109:Z114" si="82">+Z108+30</f>
        <v>2010</v>
      </c>
      <c r="AB109" s="25">
        <f t="shared" si="75"/>
        <v>-9.2903788402054481E-12</v>
      </c>
      <c r="AC109" s="26">
        <f t="shared" si="76"/>
        <v>0</v>
      </c>
      <c r="AD109" s="26">
        <f t="shared" si="62"/>
        <v>0</v>
      </c>
      <c r="AE109" s="26"/>
      <c r="AF109" s="14"/>
      <c r="AH109" s="27">
        <f t="shared" si="63"/>
        <v>0</v>
      </c>
      <c r="AI109" s="27">
        <f t="shared" si="64"/>
        <v>0</v>
      </c>
      <c r="AJ109" s="27"/>
      <c r="AK109" s="14">
        <f t="shared" si="65"/>
        <v>0</v>
      </c>
      <c r="AM109" s="23">
        <f t="shared" si="77"/>
        <v>46693</v>
      </c>
      <c r="AN109" s="23">
        <f t="shared" si="78"/>
        <v>46693</v>
      </c>
      <c r="AO109" s="23">
        <f t="shared" si="79"/>
        <v>46693</v>
      </c>
      <c r="AQ109" s="16">
        <v>67</v>
      </c>
      <c r="AR109" s="23">
        <f t="shared" si="80"/>
        <v>46693</v>
      </c>
      <c r="AS109" s="23">
        <f t="shared" ref="AS109:AS114" si="83">AS108+30</f>
        <v>46663</v>
      </c>
    </row>
    <row r="110" spans="1:45" x14ac:dyDescent="0.2">
      <c r="A110" s="40"/>
      <c r="B110" s="30">
        <v>68</v>
      </c>
      <c r="C110" s="59">
        <f t="shared" si="81"/>
        <v>46723</v>
      </c>
      <c r="D110" s="36">
        <f t="shared" si="55"/>
        <v>-6.6927441366715357E-10</v>
      </c>
      <c r="E110" s="33">
        <f t="shared" si="56"/>
        <v>-6.6927441366715357E-10</v>
      </c>
      <c r="F110" s="34">
        <f t="shared" si="57"/>
        <v>-6.6927441366715357E-10</v>
      </c>
      <c r="G110" s="34">
        <f t="shared" si="53"/>
        <v>0</v>
      </c>
      <c r="H110" s="33">
        <f t="shared" si="54"/>
        <v>-6.6927441366715357E-10</v>
      </c>
      <c r="I110" s="34">
        <f t="shared" si="58"/>
        <v>0</v>
      </c>
      <c r="J110" s="34">
        <f t="shared" si="59"/>
        <v>0</v>
      </c>
      <c r="K110" s="34">
        <f t="shared" si="66"/>
        <v>0</v>
      </c>
      <c r="L110" s="34">
        <f t="shared" si="67"/>
        <v>-9.2903788402054481E-12</v>
      </c>
      <c r="M110" s="34">
        <f t="shared" si="68"/>
        <v>-9.2903788402054481E-12</v>
      </c>
      <c r="N110" s="34">
        <f t="shared" si="69"/>
        <v>0</v>
      </c>
      <c r="O110" s="34">
        <f t="shared" si="70"/>
        <v>0</v>
      </c>
      <c r="P110" s="34">
        <f t="shared" si="71"/>
        <v>0</v>
      </c>
      <c r="Q110" s="34">
        <f t="shared" si="72"/>
        <v>0</v>
      </c>
      <c r="R110" s="33">
        <f t="shared" si="73"/>
        <v>0</v>
      </c>
      <c r="S110" s="34"/>
      <c r="T110" s="33">
        <f t="shared" si="74"/>
        <v>-9.2903788402054481E-12</v>
      </c>
      <c r="U110" s="34">
        <f t="shared" si="60"/>
        <v>0</v>
      </c>
      <c r="V110" s="75">
        <f t="shared" si="51"/>
        <v>-1.8580757680410896E-11</v>
      </c>
      <c r="W110" s="48"/>
      <c r="X110" s="20">
        <f t="shared" si="52"/>
        <v>0</v>
      </c>
      <c r="Y110" s="24">
        <f t="shared" si="61"/>
        <v>1</v>
      </c>
      <c r="Z110" s="22">
        <f t="shared" si="82"/>
        <v>2040</v>
      </c>
      <c r="AB110" s="25">
        <f t="shared" si="75"/>
        <v>-9.2903788402054481E-12</v>
      </c>
      <c r="AC110" s="26">
        <f t="shared" si="76"/>
        <v>0</v>
      </c>
      <c r="AD110" s="26">
        <f t="shared" si="62"/>
        <v>0</v>
      </c>
      <c r="AE110" s="26"/>
      <c r="AF110" s="14"/>
      <c r="AH110" s="27">
        <f t="shared" si="63"/>
        <v>0</v>
      </c>
      <c r="AI110" s="27">
        <f t="shared" si="64"/>
        <v>0</v>
      </c>
      <c r="AJ110" s="27"/>
      <c r="AK110" s="14">
        <f t="shared" si="65"/>
        <v>0</v>
      </c>
      <c r="AM110" s="23">
        <f t="shared" si="77"/>
        <v>46723</v>
      </c>
      <c r="AN110" s="23">
        <f t="shared" si="78"/>
        <v>46723</v>
      </c>
      <c r="AO110" s="23">
        <f t="shared" si="79"/>
        <v>46723</v>
      </c>
      <c r="AQ110" s="16">
        <v>68</v>
      </c>
      <c r="AR110" s="23">
        <f t="shared" si="80"/>
        <v>46723</v>
      </c>
      <c r="AS110" s="23">
        <f t="shared" si="83"/>
        <v>46693</v>
      </c>
    </row>
    <row r="111" spans="1:45" x14ac:dyDescent="0.2">
      <c r="A111" s="40"/>
      <c r="B111" s="30">
        <v>69</v>
      </c>
      <c r="C111" s="59">
        <f t="shared" si="81"/>
        <v>46754</v>
      </c>
      <c r="D111" s="36">
        <f t="shared" si="55"/>
        <v>-6.6927441366715357E-10</v>
      </c>
      <c r="E111" s="33">
        <f t="shared" si="56"/>
        <v>-6.6927441366715357E-10</v>
      </c>
      <c r="F111" s="34">
        <f t="shared" si="57"/>
        <v>-6.6927441366715357E-10</v>
      </c>
      <c r="G111" s="34">
        <f t="shared" si="53"/>
        <v>0</v>
      </c>
      <c r="H111" s="33">
        <f t="shared" si="54"/>
        <v>-6.6927441366715357E-10</v>
      </c>
      <c r="I111" s="34">
        <f t="shared" si="58"/>
        <v>0</v>
      </c>
      <c r="J111" s="34">
        <f t="shared" si="59"/>
        <v>0</v>
      </c>
      <c r="K111" s="34">
        <f t="shared" si="66"/>
        <v>0</v>
      </c>
      <c r="L111" s="34">
        <f t="shared" si="67"/>
        <v>-9.2903788402054481E-12</v>
      </c>
      <c r="M111" s="34">
        <f t="shared" si="68"/>
        <v>-9.2903788402054481E-12</v>
      </c>
      <c r="N111" s="34">
        <f t="shared" si="69"/>
        <v>0</v>
      </c>
      <c r="O111" s="34">
        <f t="shared" si="70"/>
        <v>0</v>
      </c>
      <c r="P111" s="34">
        <f t="shared" si="71"/>
        <v>0</v>
      </c>
      <c r="Q111" s="34">
        <f t="shared" si="72"/>
        <v>0</v>
      </c>
      <c r="R111" s="33">
        <f t="shared" si="73"/>
        <v>0</v>
      </c>
      <c r="S111" s="34"/>
      <c r="T111" s="33">
        <f t="shared" si="74"/>
        <v>-9.2903788402054481E-12</v>
      </c>
      <c r="U111" s="34">
        <f t="shared" si="60"/>
        <v>0</v>
      </c>
      <c r="V111" s="75">
        <f t="shared" si="51"/>
        <v>-1.8580757680410896E-11</v>
      </c>
      <c r="W111" s="48"/>
      <c r="X111" s="20">
        <f t="shared" si="52"/>
        <v>0</v>
      </c>
      <c r="Y111" s="24">
        <f t="shared" si="61"/>
        <v>1</v>
      </c>
      <c r="Z111" s="22">
        <f t="shared" si="82"/>
        <v>2070</v>
      </c>
      <c r="AB111" s="25">
        <f t="shared" si="75"/>
        <v>-9.2903788402054481E-12</v>
      </c>
      <c r="AC111" s="26">
        <f t="shared" si="76"/>
        <v>0</v>
      </c>
      <c r="AD111" s="26">
        <f t="shared" si="62"/>
        <v>0</v>
      </c>
      <c r="AE111" s="26"/>
      <c r="AF111" s="14"/>
      <c r="AH111" s="27">
        <f t="shared" si="63"/>
        <v>0</v>
      </c>
      <c r="AI111" s="27">
        <f t="shared" si="64"/>
        <v>0</v>
      </c>
      <c r="AJ111" s="27"/>
      <c r="AK111" s="14">
        <f t="shared" si="65"/>
        <v>0</v>
      </c>
      <c r="AM111" s="23">
        <f t="shared" si="77"/>
        <v>46754</v>
      </c>
      <c r="AN111" s="23">
        <f t="shared" si="78"/>
        <v>46754</v>
      </c>
      <c r="AO111" s="23">
        <f t="shared" si="79"/>
        <v>46754</v>
      </c>
      <c r="AQ111" s="16">
        <v>69</v>
      </c>
      <c r="AR111" s="23">
        <f t="shared" si="80"/>
        <v>46754</v>
      </c>
      <c r="AS111" s="23">
        <f t="shared" si="83"/>
        <v>46723</v>
      </c>
    </row>
    <row r="112" spans="1:45" x14ac:dyDescent="0.2">
      <c r="A112" s="40"/>
      <c r="B112" s="30">
        <v>70</v>
      </c>
      <c r="C112" s="59">
        <f t="shared" si="81"/>
        <v>46785</v>
      </c>
      <c r="D112" s="36">
        <f t="shared" si="55"/>
        <v>-6.6927441366715357E-10</v>
      </c>
      <c r="E112" s="33">
        <f t="shared" si="56"/>
        <v>-6.6927441366715357E-10</v>
      </c>
      <c r="F112" s="34">
        <f t="shared" si="57"/>
        <v>-6.6927441366715357E-10</v>
      </c>
      <c r="G112" s="34">
        <f t="shared" si="53"/>
        <v>0</v>
      </c>
      <c r="H112" s="33">
        <f t="shared" si="54"/>
        <v>-6.6927441366715357E-10</v>
      </c>
      <c r="I112" s="34">
        <f t="shared" si="58"/>
        <v>0</v>
      </c>
      <c r="J112" s="34">
        <f t="shared" si="59"/>
        <v>0</v>
      </c>
      <c r="K112" s="34">
        <f t="shared" si="66"/>
        <v>0</v>
      </c>
      <c r="L112" s="34">
        <f t="shared" si="67"/>
        <v>-9.2903788402054481E-12</v>
      </c>
      <c r="M112" s="34">
        <f t="shared" si="68"/>
        <v>-9.2903788402054481E-12</v>
      </c>
      <c r="N112" s="34">
        <f t="shared" si="69"/>
        <v>0</v>
      </c>
      <c r="O112" s="34">
        <f t="shared" si="70"/>
        <v>0</v>
      </c>
      <c r="P112" s="34">
        <f t="shared" si="71"/>
        <v>0</v>
      </c>
      <c r="Q112" s="34">
        <f t="shared" si="72"/>
        <v>0</v>
      </c>
      <c r="R112" s="33">
        <f t="shared" si="73"/>
        <v>0</v>
      </c>
      <c r="S112" s="34"/>
      <c r="T112" s="33">
        <f t="shared" si="74"/>
        <v>-9.2903788402054481E-12</v>
      </c>
      <c r="U112" s="34">
        <f t="shared" si="60"/>
        <v>0</v>
      </c>
      <c r="V112" s="75">
        <f t="shared" si="51"/>
        <v>-1.8580757680410896E-11</v>
      </c>
      <c r="W112" s="48"/>
      <c r="X112" s="20">
        <f t="shared" si="52"/>
        <v>0</v>
      </c>
      <c r="Y112" s="24">
        <f t="shared" si="61"/>
        <v>1</v>
      </c>
      <c r="Z112" s="22">
        <f t="shared" si="82"/>
        <v>2100</v>
      </c>
      <c r="AB112" s="25">
        <f t="shared" si="75"/>
        <v>-9.2903788402054481E-12</v>
      </c>
      <c r="AC112" s="26">
        <f t="shared" si="76"/>
        <v>0</v>
      </c>
      <c r="AD112" s="26">
        <f t="shared" si="62"/>
        <v>0</v>
      </c>
      <c r="AE112" s="26"/>
      <c r="AF112" s="14"/>
      <c r="AH112" s="27">
        <f t="shared" si="63"/>
        <v>0</v>
      </c>
      <c r="AI112" s="27">
        <f t="shared" si="64"/>
        <v>0</v>
      </c>
      <c r="AJ112" s="27"/>
      <c r="AK112" s="14">
        <f t="shared" si="65"/>
        <v>0</v>
      </c>
      <c r="AM112" s="23">
        <f t="shared" si="77"/>
        <v>46785</v>
      </c>
      <c r="AN112" s="23">
        <f t="shared" si="78"/>
        <v>46785</v>
      </c>
      <c r="AO112" s="23">
        <f t="shared" si="79"/>
        <v>46785</v>
      </c>
      <c r="AQ112" s="16">
        <v>70</v>
      </c>
      <c r="AR112" s="23">
        <f t="shared" si="80"/>
        <v>46785</v>
      </c>
      <c r="AS112" s="23">
        <f t="shared" si="83"/>
        <v>46753</v>
      </c>
    </row>
    <row r="113" spans="1:45" x14ac:dyDescent="0.2">
      <c r="A113" s="40"/>
      <c r="B113" s="30">
        <v>71</v>
      </c>
      <c r="C113" s="59">
        <f t="shared" si="81"/>
        <v>46814</v>
      </c>
      <c r="D113" s="36">
        <f t="shared" si="55"/>
        <v>-6.6927441366715357E-10</v>
      </c>
      <c r="E113" s="33">
        <f t="shared" si="56"/>
        <v>-6.6927441366715357E-10</v>
      </c>
      <c r="F113" s="34">
        <f t="shared" si="57"/>
        <v>-6.6927441366715357E-10</v>
      </c>
      <c r="G113" s="34">
        <f t="shared" si="53"/>
        <v>0</v>
      </c>
      <c r="H113" s="33">
        <f t="shared" si="54"/>
        <v>-6.6927441366715357E-10</v>
      </c>
      <c r="I113" s="34">
        <f t="shared" si="58"/>
        <v>0</v>
      </c>
      <c r="J113" s="34">
        <f t="shared" si="59"/>
        <v>0</v>
      </c>
      <c r="K113" s="34">
        <f t="shared" si="66"/>
        <v>0</v>
      </c>
      <c r="L113" s="34">
        <f t="shared" si="67"/>
        <v>-9.2903788402054481E-12</v>
      </c>
      <c r="M113" s="34">
        <f t="shared" si="68"/>
        <v>-9.2903788402054481E-12</v>
      </c>
      <c r="N113" s="34">
        <f t="shared" si="69"/>
        <v>0</v>
      </c>
      <c r="O113" s="34">
        <f t="shared" si="70"/>
        <v>0</v>
      </c>
      <c r="P113" s="34">
        <f t="shared" si="71"/>
        <v>0</v>
      </c>
      <c r="Q113" s="34">
        <f t="shared" si="72"/>
        <v>0</v>
      </c>
      <c r="R113" s="33">
        <f t="shared" si="73"/>
        <v>0</v>
      </c>
      <c r="S113" s="34"/>
      <c r="T113" s="33">
        <f t="shared" si="74"/>
        <v>-9.2903788402054481E-12</v>
      </c>
      <c r="U113" s="34">
        <f t="shared" si="60"/>
        <v>0</v>
      </c>
      <c r="V113" s="75">
        <f t="shared" si="51"/>
        <v>-1.8580757680410896E-11</v>
      </c>
      <c r="W113" s="48"/>
      <c r="X113" s="20">
        <f t="shared" si="52"/>
        <v>0</v>
      </c>
      <c r="Y113" s="24">
        <f t="shared" si="61"/>
        <v>1</v>
      </c>
      <c r="Z113" s="22">
        <f t="shared" si="82"/>
        <v>2130</v>
      </c>
      <c r="AB113" s="25">
        <f t="shared" si="75"/>
        <v>-9.2903788402054481E-12</v>
      </c>
      <c r="AC113" s="26">
        <f t="shared" si="76"/>
        <v>0</v>
      </c>
      <c r="AD113" s="26">
        <f t="shared" si="62"/>
        <v>0</v>
      </c>
      <c r="AE113" s="26"/>
      <c r="AF113" s="14"/>
      <c r="AH113" s="27">
        <f t="shared" si="63"/>
        <v>0</v>
      </c>
      <c r="AI113" s="27">
        <f t="shared" si="64"/>
        <v>0</v>
      </c>
      <c r="AJ113" s="27"/>
      <c r="AK113" s="14">
        <f t="shared" si="65"/>
        <v>0</v>
      </c>
      <c r="AM113" s="23">
        <f t="shared" si="77"/>
        <v>46814</v>
      </c>
      <c r="AN113" s="23">
        <f t="shared" si="78"/>
        <v>46814</v>
      </c>
      <c r="AO113" s="23">
        <f t="shared" si="79"/>
        <v>46814</v>
      </c>
      <c r="AQ113" s="16">
        <v>71</v>
      </c>
      <c r="AR113" s="23">
        <f t="shared" si="80"/>
        <v>46814</v>
      </c>
      <c r="AS113" s="23">
        <f t="shared" si="83"/>
        <v>46783</v>
      </c>
    </row>
    <row r="114" spans="1:45" ht="13.5" thickBot="1" x14ac:dyDescent="0.25">
      <c r="A114" s="40"/>
      <c r="B114" s="37">
        <v>72</v>
      </c>
      <c r="C114" s="60">
        <f t="shared" si="81"/>
        <v>46845</v>
      </c>
      <c r="D114" s="61">
        <f t="shared" si="55"/>
        <v>-6.6927441366715357E-10</v>
      </c>
      <c r="E114" s="33">
        <f t="shared" si="56"/>
        <v>-6.6927441366715357E-10</v>
      </c>
      <c r="F114" s="38">
        <f t="shared" si="57"/>
        <v>-6.6927441366715357E-10</v>
      </c>
      <c r="G114" s="34">
        <f t="shared" si="53"/>
        <v>0</v>
      </c>
      <c r="H114" s="62">
        <f t="shared" si="54"/>
        <v>-6.6927441366715357E-10</v>
      </c>
      <c r="I114" s="34">
        <f t="shared" si="58"/>
        <v>0</v>
      </c>
      <c r="J114" s="34">
        <f t="shared" si="59"/>
        <v>0</v>
      </c>
      <c r="K114" s="34">
        <f t="shared" si="66"/>
        <v>0</v>
      </c>
      <c r="L114" s="34">
        <f t="shared" si="67"/>
        <v>-9.2903788402054481E-12</v>
      </c>
      <c r="M114" s="34">
        <f t="shared" si="68"/>
        <v>-9.2903788402054481E-12</v>
      </c>
      <c r="N114" s="34">
        <f>G114*((1+$E$24)^((C114-C113)/360)-1)</f>
        <v>0</v>
      </c>
      <c r="O114" s="34">
        <f t="shared" si="70"/>
        <v>0</v>
      </c>
      <c r="P114" s="34">
        <f t="shared" si="71"/>
        <v>0</v>
      </c>
      <c r="Q114" s="34">
        <f t="shared" si="72"/>
        <v>0</v>
      </c>
      <c r="R114" s="62">
        <f t="shared" si="73"/>
        <v>0</v>
      </c>
      <c r="S114" s="34"/>
      <c r="T114" s="62">
        <f t="shared" si="74"/>
        <v>-9.2903788402054481E-12</v>
      </c>
      <c r="U114" s="38">
        <f t="shared" si="60"/>
        <v>0</v>
      </c>
      <c r="V114" s="76">
        <f t="shared" si="51"/>
        <v>-1.8580757680410896E-11</v>
      </c>
      <c r="W114" s="48"/>
      <c r="X114" s="20">
        <f t="shared" si="52"/>
        <v>0</v>
      </c>
      <c r="Y114" s="24">
        <f t="shared" si="61"/>
        <v>1</v>
      </c>
      <c r="Z114" s="22">
        <f t="shared" si="82"/>
        <v>2160</v>
      </c>
      <c r="AB114" s="25">
        <f t="shared" si="75"/>
        <v>-9.2903788402054481E-12</v>
      </c>
      <c r="AC114" s="26">
        <f t="shared" si="76"/>
        <v>0</v>
      </c>
      <c r="AD114" s="26">
        <f t="shared" si="62"/>
        <v>0</v>
      </c>
      <c r="AE114" s="26"/>
      <c r="AF114" s="14"/>
      <c r="AH114" s="27">
        <f t="shared" si="63"/>
        <v>0</v>
      </c>
      <c r="AI114" s="27">
        <f t="shared" si="64"/>
        <v>0</v>
      </c>
      <c r="AJ114" s="27"/>
      <c r="AK114" s="14">
        <f t="shared" si="65"/>
        <v>0</v>
      </c>
      <c r="AM114" s="23">
        <f t="shared" si="77"/>
        <v>46845</v>
      </c>
      <c r="AN114" s="23">
        <f t="shared" si="78"/>
        <v>46845</v>
      </c>
      <c r="AO114" s="23">
        <f t="shared" si="79"/>
        <v>46845</v>
      </c>
      <c r="AQ114" s="16">
        <v>72</v>
      </c>
      <c r="AR114" s="23">
        <f t="shared" si="80"/>
        <v>46845</v>
      </c>
      <c r="AS114" s="23">
        <f t="shared" si="83"/>
        <v>46813</v>
      </c>
    </row>
    <row r="115" spans="1:45" ht="13.5" thickBot="1" x14ac:dyDescent="0.25">
      <c r="A115" s="40"/>
      <c r="B115" s="77" t="s">
        <v>49</v>
      </c>
      <c r="C115" s="78"/>
      <c r="D115" s="78"/>
      <c r="E115" s="79"/>
      <c r="F115" s="79">
        <f>SUM(F43:F114)</f>
        <v>473425.08379853453</v>
      </c>
      <c r="G115" s="79"/>
      <c r="H115" s="79">
        <f t="shared" ref="H115:V115" si="84">SUM(H43:H114)</f>
        <v>449889.08379853389</v>
      </c>
      <c r="I115" s="79"/>
      <c r="J115" s="79"/>
      <c r="K115" s="79">
        <f t="shared" si="84"/>
        <v>58536.000000000669</v>
      </c>
      <c r="L115" s="79">
        <f t="shared" si="84"/>
        <v>24547.981412956182</v>
      </c>
      <c r="M115" s="79">
        <f t="shared" si="84"/>
        <v>6571.7414129800736</v>
      </c>
      <c r="N115" s="79"/>
      <c r="O115" s="79">
        <f t="shared" si="84"/>
        <v>601.24985642369199</v>
      </c>
      <c r="P115" s="79"/>
      <c r="Q115" s="79">
        <f t="shared" si="84"/>
        <v>2245.8998564236913</v>
      </c>
      <c r="R115" s="79">
        <f t="shared" si="84"/>
        <v>8849.2900000000009</v>
      </c>
      <c r="S115" s="79"/>
      <c r="T115" s="79">
        <f t="shared" si="84"/>
        <v>30708.991269404389</v>
      </c>
      <c r="U115" s="79">
        <f t="shared" si="84"/>
        <v>370</v>
      </c>
      <c r="V115" s="80">
        <f t="shared" si="84"/>
        <v>94549.171269380371</v>
      </c>
      <c r="W115" s="48"/>
      <c r="Y115" s="24"/>
      <c r="AE115" s="14"/>
      <c r="AF115" s="14"/>
      <c r="AH115" s="16"/>
      <c r="AI115" s="16"/>
      <c r="AJ115" s="16"/>
      <c r="AQ115" s="17"/>
      <c r="AR115" s="23">
        <f t="shared" si="80"/>
        <v>46875</v>
      </c>
      <c r="AS115" s="23">
        <f t="shared" ref="AS115" si="85">AS114+30</f>
        <v>46843</v>
      </c>
    </row>
    <row r="116" spans="1:45" x14ac:dyDescent="0.2">
      <c r="A116" s="40"/>
      <c r="B116" s="40"/>
      <c r="C116" s="40"/>
      <c r="D116" s="40"/>
      <c r="E116" s="46"/>
      <c r="F116" s="40"/>
      <c r="G116" s="40"/>
      <c r="H116" s="40"/>
      <c r="I116" s="40"/>
      <c r="J116" s="40"/>
      <c r="K116" s="40"/>
      <c r="L116" s="40"/>
      <c r="M116" s="40"/>
      <c r="N116" s="40"/>
      <c r="O116" s="40"/>
      <c r="P116" s="40"/>
      <c r="Q116" s="40"/>
      <c r="R116" s="40"/>
      <c r="S116" s="46"/>
      <c r="T116" s="40"/>
      <c r="U116" s="40"/>
      <c r="V116" s="40"/>
      <c r="W116" s="40"/>
      <c r="AO116" s="23">
        <f>IF(DAY(EOMONTH(C115,1))&lt;$L$17,DATE(YEAR(C115),MONTH(C115)+2,0),DATE(YEAR(C115),MONTH(C115)+1,DAY($L$17)))</f>
        <v>33</v>
      </c>
      <c r="AP116" s="23">
        <f>AS115+30</f>
        <v>46873</v>
      </c>
    </row>
    <row r="117" spans="1:45" x14ac:dyDescent="0.2">
      <c r="A117" s="40"/>
      <c r="B117" s="40"/>
      <c r="C117" s="40"/>
      <c r="D117" s="40"/>
      <c r="E117" s="46"/>
      <c r="F117" s="40"/>
      <c r="G117" s="40"/>
      <c r="H117" s="40"/>
      <c r="I117" s="40"/>
      <c r="J117" s="40"/>
      <c r="K117" s="40"/>
      <c r="L117" s="40"/>
      <c r="M117" s="40"/>
      <c r="N117" s="40"/>
      <c r="O117" s="40"/>
      <c r="P117" s="40"/>
      <c r="Q117" s="40"/>
      <c r="R117" s="40"/>
      <c r="S117" s="46"/>
      <c r="T117" s="40"/>
      <c r="U117" s="40"/>
      <c r="V117" s="48"/>
      <c r="W117" s="40"/>
      <c r="AO117" s="23"/>
      <c r="AP117" s="23"/>
    </row>
    <row r="118" spans="1:45" ht="15.75" x14ac:dyDescent="0.25">
      <c r="A118" s="115"/>
      <c r="B118" s="116" t="s">
        <v>61</v>
      </c>
      <c r="C118" s="117"/>
      <c r="D118" s="117"/>
      <c r="E118" s="118"/>
      <c r="F118" s="117"/>
      <c r="G118" s="117"/>
      <c r="H118" s="117"/>
      <c r="I118" s="117"/>
      <c r="J118" s="117"/>
      <c r="K118" s="117"/>
      <c r="L118" s="117"/>
      <c r="M118" s="117"/>
      <c r="N118" s="117"/>
      <c r="O118" s="117"/>
      <c r="P118" s="117"/>
      <c r="Q118" s="117"/>
      <c r="R118" s="117"/>
      <c r="S118" s="118"/>
      <c r="T118" s="117"/>
      <c r="U118" s="117"/>
      <c r="V118" s="48"/>
      <c r="W118" s="40"/>
      <c r="AO118" s="23"/>
      <c r="AP118" s="23"/>
    </row>
    <row r="119" spans="1:45" ht="8.25" customHeight="1" x14ac:dyDescent="0.25">
      <c r="A119" s="115"/>
      <c r="B119" s="116"/>
      <c r="C119" s="117"/>
      <c r="D119" s="117"/>
      <c r="E119" s="118"/>
      <c r="F119" s="117"/>
      <c r="G119" s="117"/>
      <c r="H119" s="117"/>
      <c r="I119" s="117"/>
      <c r="J119" s="117"/>
      <c r="K119" s="117"/>
      <c r="L119" s="117"/>
      <c r="M119" s="117"/>
      <c r="N119" s="117"/>
      <c r="O119" s="117"/>
      <c r="P119" s="117"/>
      <c r="Q119" s="117"/>
      <c r="R119" s="117"/>
      <c r="S119" s="118"/>
      <c r="T119" s="117"/>
      <c r="U119" s="117"/>
      <c r="V119" s="48"/>
      <c r="W119" s="40"/>
      <c r="AO119" s="23"/>
      <c r="AP119" s="23"/>
    </row>
    <row r="120" spans="1:45" ht="20.25" customHeight="1" x14ac:dyDescent="0.2">
      <c r="A120" s="115"/>
      <c r="B120" s="160" t="s">
        <v>62</v>
      </c>
      <c r="C120" s="160"/>
      <c r="D120" s="160"/>
      <c r="E120" s="160"/>
      <c r="F120" s="160"/>
      <c r="G120" s="160"/>
      <c r="H120" s="160"/>
      <c r="I120" s="160"/>
      <c r="J120" s="160"/>
      <c r="K120" s="160"/>
      <c r="L120" s="160"/>
      <c r="M120" s="160"/>
      <c r="N120" s="160"/>
      <c r="O120" s="160"/>
      <c r="P120" s="160"/>
      <c r="Q120" s="160"/>
      <c r="R120" s="160"/>
      <c r="S120" s="118"/>
      <c r="T120" s="117"/>
      <c r="U120" s="117"/>
      <c r="V120" s="48"/>
      <c r="W120" s="40"/>
      <c r="AO120" s="23"/>
      <c r="AP120" s="23"/>
    </row>
    <row r="121" spans="1:45" ht="45.75" customHeight="1" x14ac:dyDescent="0.2">
      <c r="A121" s="115"/>
      <c r="B121" s="163" t="s">
        <v>63</v>
      </c>
      <c r="C121" s="163"/>
      <c r="D121" s="163"/>
      <c r="E121" s="163"/>
      <c r="F121" s="163"/>
      <c r="G121" s="163"/>
      <c r="H121" s="163"/>
      <c r="I121" s="163"/>
      <c r="J121" s="163"/>
      <c r="K121" s="163"/>
      <c r="L121" s="163"/>
      <c r="M121" s="163"/>
      <c r="N121" s="163"/>
      <c r="O121" s="163"/>
      <c r="P121" s="163"/>
      <c r="Q121" s="163"/>
      <c r="R121" s="163"/>
      <c r="S121" s="118"/>
      <c r="T121" s="117"/>
      <c r="U121" s="117"/>
      <c r="V121" s="48"/>
      <c r="W121" s="40"/>
      <c r="AO121" s="23"/>
      <c r="AP121" s="23"/>
    </row>
    <row r="122" spans="1:45" ht="45.75" customHeight="1" x14ac:dyDescent="0.2">
      <c r="A122" s="115"/>
      <c r="B122" s="147" t="s">
        <v>92</v>
      </c>
      <c r="C122" s="147"/>
      <c r="D122" s="147"/>
      <c r="E122" s="147"/>
      <c r="F122" s="147"/>
      <c r="G122" s="147"/>
      <c r="H122" s="147"/>
      <c r="I122" s="147"/>
      <c r="J122" s="147"/>
      <c r="K122" s="147"/>
      <c r="L122" s="147"/>
      <c r="M122" s="147"/>
      <c r="N122" s="147"/>
      <c r="O122" s="147"/>
      <c r="P122" s="147"/>
      <c r="Q122" s="147"/>
      <c r="R122" s="147"/>
      <c r="S122" s="118"/>
      <c r="T122" s="117"/>
      <c r="U122" s="117"/>
      <c r="V122" s="48"/>
      <c r="W122" s="40"/>
      <c r="AO122" s="23"/>
      <c r="AP122" s="23"/>
    </row>
    <row r="123" spans="1:45" ht="41.25" customHeight="1" x14ac:dyDescent="0.2">
      <c r="A123" s="115"/>
      <c r="B123" s="161" t="s">
        <v>97</v>
      </c>
      <c r="C123" s="162"/>
      <c r="D123" s="162"/>
      <c r="E123" s="162"/>
      <c r="F123" s="162"/>
      <c r="G123" s="162"/>
      <c r="H123" s="162"/>
      <c r="I123" s="162"/>
      <c r="J123" s="162"/>
      <c r="K123" s="162"/>
      <c r="L123" s="162"/>
      <c r="M123" s="162"/>
      <c r="N123" s="162"/>
      <c r="O123" s="162"/>
      <c r="P123" s="162"/>
      <c r="Q123" s="162"/>
      <c r="R123" s="162"/>
      <c r="S123" s="118"/>
      <c r="T123" s="117"/>
      <c r="U123" s="117"/>
      <c r="V123" s="48"/>
      <c r="W123" s="40"/>
      <c r="AO123" s="23"/>
      <c r="AP123" s="23"/>
    </row>
    <row r="124" spans="1:45" ht="41.25" customHeight="1" x14ac:dyDescent="0.2">
      <c r="A124" s="115"/>
      <c r="B124" s="161" t="s">
        <v>64</v>
      </c>
      <c r="C124" s="162"/>
      <c r="D124" s="162"/>
      <c r="E124" s="162"/>
      <c r="F124" s="162"/>
      <c r="G124" s="162"/>
      <c r="H124" s="162"/>
      <c r="I124" s="162"/>
      <c r="J124" s="162"/>
      <c r="K124" s="162"/>
      <c r="L124" s="162"/>
      <c r="M124" s="162"/>
      <c r="N124" s="162"/>
      <c r="O124" s="162"/>
      <c r="P124" s="162"/>
      <c r="Q124" s="162"/>
      <c r="R124" s="162"/>
      <c r="S124" s="118"/>
      <c r="T124" s="117"/>
      <c r="U124" s="117"/>
      <c r="V124" s="48"/>
      <c r="W124" s="40"/>
      <c r="AO124" s="23"/>
      <c r="AP124" s="23"/>
    </row>
    <row r="125" spans="1:45" ht="30.75" customHeight="1" x14ac:dyDescent="0.2">
      <c r="A125" s="115"/>
      <c r="B125" s="161" t="s">
        <v>65</v>
      </c>
      <c r="C125" s="162"/>
      <c r="D125" s="162"/>
      <c r="E125" s="162"/>
      <c r="F125" s="162"/>
      <c r="G125" s="162"/>
      <c r="H125" s="162"/>
      <c r="I125" s="162"/>
      <c r="J125" s="162"/>
      <c r="K125" s="162"/>
      <c r="L125" s="162"/>
      <c r="M125" s="162"/>
      <c r="N125" s="162"/>
      <c r="O125" s="162"/>
      <c r="P125" s="162"/>
      <c r="Q125" s="162"/>
      <c r="R125" s="162"/>
      <c r="S125" s="118"/>
      <c r="T125" s="117"/>
      <c r="U125" s="117"/>
      <c r="V125" s="48"/>
      <c r="W125" s="40"/>
      <c r="AO125" s="23"/>
      <c r="AP125" s="23"/>
    </row>
    <row r="126" spans="1:45" x14ac:dyDescent="0.2">
      <c r="A126" s="40"/>
      <c r="B126" s="40"/>
      <c r="C126" s="40"/>
      <c r="D126" s="40"/>
      <c r="E126" s="40"/>
      <c r="F126" s="40"/>
      <c r="G126" s="40"/>
      <c r="H126" s="46"/>
      <c r="I126" s="46"/>
      <c r="J126" s="40"/>
      <c r="K126" s="40"/>
      <c r="L126" s="40"/>
      <c r="M126" s="40"/>
      <c r="N126" s="40"/>
      <c r="O126" s="40"/>
      <c r="P126" s="40"/>
      <c r="Q126" s="40"/>
      <c r="R126" s="40"/>
      <c r="S126" s="46"/>
      <c r="T126" s="40"/>
      <c r="U126" s="40"/>
      <c r="V126" s="48"/>
      <c r="W126" s="40"/>
    </row>
  </sheetData>
  <sheetProtection algorithmName="SHA-512" hashValue="lV4l8LiRFJ8Jka4bciy0Q9FpVD91zV0XqMCbQi2vlg+VcJj5ACqiJDhd0e7qRMlD2gNGTjvkVYYOZTYpSvMiBg==" saltValue="PhMs06Q6DtOk7HQEQ1Xr0Q==" spinCount="100000" sheet="1" objects="1" scenarios="1"/>
  <mergeCells count="25">
    <mergeCell ref="B12:D12"/>
    <mergeCell ref="B25:D25"/>
    <mergeCell ref="B21:D21"/>
    <mergeCell ref="B120:R120"/>
    <mergeCell ref="B125:R125"/>
    <mergeCell ref="B121:R121"/>
    <mergeCell ref="B123:R123"/>
    <mergeCell ref="B124:R124"/>
    <mergeCell ref="B22:D22"/>
    <mergeCell ref="B11:D11"/>
    <mergeCell ref="AH40:AI40"/>
    <mergeCell ref="B6:V6"/>
    <mergeCell ref="B122:R122"/>
    <mergeCell ref="B30:D30"/>
    <mergeCell ref="B29:D29"/>
    <mergeCell ref="B28:D28"/>
    <mergeCell ref="B37:D37"/>
    <mergeCell ref="B8:D8"/>
    <mergeCell ref="B14:D14"/>
    <mergeCell ref="B17:D17"/>
    <mergeCell ref="B27:D27"/>
    <mergeCell ref="B26:D26"/>
    <mergeCell ref="B19:D19"/>
    <mergeCell ref="B23:D23"/>
    <mergeCell ref="B24:D24"/>
  </mergeCells>
  <phoneticPr fontId="0" type="noConversion"/>
  <conditionalFormatting sqref="K17:L17">
    <cfRule type="expression" dxfId="1" priority="2" stopIfTrue="1">
      <formula>$E$17="Año Base 360"</formula>
    </cfRule>
  </conditionalFormatting>
  <conditionalFormatting sqref="E20">
    <cfRule type="expression" dxfId="0" priority="1" stopIfTrue="1">
      <formula>$E$17="Año Base 360"</formula>
    </cfRule>
  </conditionalFormatting>
  <dataValidations count="9">
    <dataValidation type="list" allowBlank="1" showInputMessage="1" showErrorMessage="1" sqref="E8">
      <formula1>"Soles,Dólares"</formula1>
    </dataValidation>
    <dataValidation type="list" allowBlank="1" showInputMessage="1" showErrorMessage="1" sqref="E17">
      <formula1>"Año Base 360,Días Calendario"</formula1>
    </dataValidation>
    <dataValidation allowBlank="1" showInputMessage="1" showErrorMessage="1" errorTitle="Monto Solicitado" error="El monto solicitado no puede exceder a S/. 66,000 o US$ 22,000" sqref="E14:E16"/>
    <dataValidation type="whole" allowBlank="1" showInputMessage="1" showErrorMessage="1" errorTitle="Plazo del Préstamo" error="El máximo plazo establecido es hasta 36 meses." sqref="E26">
      <formula1>0</formula1>
      <formula2>72</formula2>
    </dataValidation>
    <dataValidation type="whole" allowBlank="1" showInputMessage="1" showErrorMessage="1" errorTitle="Plazo de Gracia" error="El máximo plazo establecido es hasta 6 meses." sqref="E21">
      <formula1>0</formula1>
      <formula2>6</formula2>
    </dataValidation>
    <dataValidation type="list" allowBlank="1" showInputMessage="1" showErrorMessage="1" errorTitle="Plazo de Gracia" error="El máximo plazo establecido es hasta 6 meses." sqref="E22">
      <formula1>"Si,No"</formula1>
    </dataValidation>
    <dataValidation type="list" allowBlank="1" showInputMessage="1" showErrorMessage="1" sqref="E28">
      <formula1>$X$37:$X$38</formula1>
    </dataValidation>
    <dataValidation type="list" allowBlank="1" showInputMessage="1" showErrorMessage="1" sqref="E20 L17 G18">
      <formula1>$Z$4:$Z$6</formula1>
    </dataValidation>
    <dataValidation type="list" allowBlank="1" showInputMessage="1" showErrorMessage="1" sqref="E31">
      <formula1>$V$18:$V$20</formula1>
    </dataValidation>
  </dataValidations>
  <pageMargins left="0.74803149606299213" right="0.74803149606299213" top="0.98425196850393704" bottom="0.98425196850393704" header="0" footer="0"/>
  <pageSetup paperSize="9" scale="60" orientation="portrait" horizontalDpi="4294967294" verticalDpi="4294967294" r:id="rId1"/>
  <headerFooter alignWithMargins="0"/>
  <colBreaks count="1" manualBreakCount="1">
    <brk id="20" min="4" max="94" man="1"/>
  </colBreaks>
  <ignoredErrors>
    <ignoredError sqref="Q43:Q115" formula="1"/>
    <ignoredError sqref="E15" unlocked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pageSetUpPr fitToPage="1"/>
  </sheetPr>
  <dimension ref="B7:J52"/>
  <sheetViews>
    <sheetView topLeftCell="A17" workbookViewId="0">
      <selection activeCell="C34" sqref="C34"/>
    </sheetView>
  </sheetViews>
  <sheetFormatPr baseColWidth="10" defaultRowHeight="12.75" x14ac:dyDescent="0.2"/>
  <cols>
    <col min="1" max="1" width="3.140625" customWidth="1"/>
  </cols>
  <sheetData>
    <row r="7" spans="2:10" ht="13.5" thickBot="1" x14ac:dyDescent="0.25"/>
    <row r="8" spans="2:10" s="5" customFormat="1" ht="24.95" customHeight="1" thickBot="1" x14ac:dyDescent="0.3">
      <c r="B8" s="2" t="s">
        <v>29</v>
      </c>
      <c r="C8" s="3"/>
      <c r="D8" s="3"/>
      <c r="E8" s="3"/>
      <c r="F8" s="3"/>
      <c r="G8" s="3"/>
      <c r="H8" s="3"/>
      <c r="I8" s="3"/>
      <c r="J8" s="4"/>
    </row>
    <row r="12" spans="2:10" x14ac:dyDescent="0.2">
      <c r="B12" t="s">
        <v>3</v>
      </c>
      <c r="F12" t="s">
        <v>27</v>
      </c>
    </row>
    <row r="19" spans="2:5" x14ac:dyDescent="0.2">
      <c r="B19" t="s">
        <v>5</v>
      </c>
    </row>
    <row r="24" spans="2:5" x14ac:dyDescent="0.2">
      <c r="B24" t="s">
        <v>7</v>
      </c>
    </row>
    <row r="30" spans="2:5" x14ac:dyDescent="0.2">
      <c r="B30" t="s">
        <v>4</v>
      </c>
      <c r="E30" t="s">
        <v>11</v>
      </c>
    </row>
    <row r="36" spans="2:9" x14ac:dyDescent="0.2">
      <c r="B36" t="s">
        <v>6</v>
      </c>
      <c r="E36" t="s">
        <v>9</v>
      </c>
    </row>
    <row r="37" spans="2:9" x14ac:dyDescent="0.2">
      <c r="B37" t="s">
        <v>12</v>
      </c>
    </row>
    <row r="42" spans="2:9" x14ac:dyDescent="0.2">
      <c r="B42" s="1" t="s">
        <v>23</v>
      </c>
    </row>
    <row r="43" spans="2:9" x14ac:dyDescent="0.2">
      <c r="B43" s="6"/>
      <c r="C43" s="7"/>
      <c r="D43" s="7"/>
      <c r="E43" s="7"/>
      <c r="F43" s="7"/>
      <c r="G43" s="7"/>
      <c r="H43" s="7"/>
      <c r="I43" s="8"/>
    </row>
    <row r="44" spans="2:9" x14ac:dyDescent="0.2">
      <c r="B44" s="9"/>
      <c r="C44" t="s">
        <v>15</v>
      </c>
      <c r="F44" t="s">
        <v>30</v>
      </c>
      <c r="I44" s="10"/>
    </row>
    <row r="45" spans="2:9" x14ac:dyDescent="0.2">
      <c r="B45" s="9"/>
      <c r="C45" t="s">
        <v>16</v>
      </c>
      <c r="F45" t="s">
        <v>22</v>
      </c>
      <c r="I45" s="10"/>
    </row>
    <row r="46" spans="2:9" x14ac:dyDescent="0.2">
      <c r="B46" s="9"/>
      <c r="C46" t="s">
        <v>31</v>
      </c>
      <c r="F46" t="s">
        <v>10</v>
      </c>
      <c r="I46" s="10"/>
    </row>
    <row r="47" spans="2:9" x14ac:dyDescent="0.2">
      <c r="B47" s="9"/>
      <c r="C47" t="s">
        <v>18</v>
      </c>
      <c r="F47" t="s">
        <v>8</v>
      </c>
      <c r="I47" s="10"/>
    </row>
    <row r="48" spans="2:9" x14ac:dyDescent="0.2">
      <c r="B48" s="9"/>
      <c r="C48" t="s">
        <v>19</v>
      </c>
      <c r="F48" t="s">
        <v>24</v>
      </c>
      <c r="I48" s="10"/>
    </row>
    <row r="49" spans="2:9" x14ac:dyDescent="0.2">
      <c r="B49" s="9"/>
      <c r="C49" t="s">
        <v>17</v>
      </c>
      <c r="F49" t="s">
        <v>28</v>
      </c>
      <c r="I49" s="10"/>
    </row>
    <row r="50" spans="2:9" x14ac:dyDescent="0.2">
      <c r="B50" s="9"/>
      <c r="C50" t="s">
        <v>20</v>
      </c>
      <c r="I50" s="10"/>
    </row>
    <row r="51" spans="2:9" x14ac:dyDescent="0.2">
      <c r="B51" s="9"/>
      <c r="C51" t="s">
        <v>21</v>
      </c>
      <c r="I51" s="10"/>
    </row>
    <row r="52" spans="2:9" x14ac:dyDescent="0.2">
      <c r="B52" s="11"/>
      <c r="C52" s="12"/>
      <c r="D52" s="12"/>
      <c r="E52" s="12"/>
      <c r="F52" s="12"/>
      <c r="G52" s="12"/>
      <c r="H52" s="12"/>
      <c r="I52" s="13"/>
    </row>
  </sheetData>
  <phoneticPr fontId="0" type="noConversion"/>
  <printOptions horizontalCentered="1"/>
  <pageMargins left="0.78740157480314965" right="0.78740157480314965" top="0.98425196850393704" bottom="0.98425196850393704" header="0" footer="0"/>
  <pageSetup paperSize="9" scale="76" orientation="portrait" r:id="rId1"/>
  <headerFooter alignWithMargins="0"/>
  <drawing r:id="rId2"/>
  <legacyDrawing r:id="rId3"/>
  <oleObjects>
    <mc:AlternateContent xmlns:mc="http://schemas.openxmlformats.org/markup-compatibility/2006">
      <mc:Choice Requires="x14">
        <oleObject progId="Equation.3" shapeId="3073" r:id="rId4">
          <objectPr defaultSize="0" autoPict="0" r:id="rId5">
            <anchor moveWithCells="1" sizeWithCells="1">
              <from>
                <xdr:col>1</xdr:col>
                <xdr:colOff>142875</xdr:colOff>
                <xdr:row>12</xdr:row>
                <xdr:rowOff>66675</xdr:rowOff>
              </from>
              <to>
                <xdr:col>4</xdr:col>
                <xdr:colOff>28575</xdr:colOff>
                <xdr:row>16</xdr:row>
                <xdr:rowOff>123825</xdr:rowOff>
              </to>
            </anchor>
          </objectPr>
        </oleObject>
      </mc:Choice>
      <mc:Fallback>
        <oleObject progId="Equation.3" shapeId="3073" r:id="rId4"/>
      </mc:Fallback>
    </mc:AlternateContent>
    <mc:AlternateContent xmlns:mc="http://schemas.openxmlformats.org/markup-compatibility/2006">
      <mc:Choice Requires="x14">
        <oleObject progId="Equation.3" shapeId="3074" r:id="rId6">
          <objectPr defaultSize="0" autoPict="0" r:id="rId7">
            <anchor moveWithCells="1" sizeWithCells="1">
              <from>
                <xdr:col>1</xdr:col>
                <xdr:colOff>85725</xdr:colOff>
                <xdr:row>24</xdr:row>
                <xdr:rowOff>47625</xdr:rowOff>
              </from>
              <to>
                <xdr:col>3</xdr:col>
                <xdr:colOff>485775</xdr:colOff>
                <xdr:row>28</xdr:row>
                <xdr:rowOff>9525</xdr:rowOff>
              </to>
            </anchor>
          </objectPr>
        </oleObject>
      </mc:Choice>
      <mc:Fallback>
        <oleObject progId="Equation.3" shapeId="3074" r:id="rId6"/>
      </mc:Fallback>
    </mc:AlternateContent>
    <mc:AlternateContent xmlns:mc="http://schemas.openxmlformats.org/markup-compatibility/2006">
      <mc:Choice Requires="x14">
        <oleObject progId="Equation.3" shapeId="3075" r:id="rId8">
          <objectPr defaultSize="0" autoPict="0" r:id="rId9">
            <anchor moveWithCells="1" sizeWithCells="1">
              <from>
                <xdr:col>4</xdr:col>
                <xdr:colOff>66675</xdr:colOff>
                <xdr:row>24</xdr:row>
                <xdr:rowOff>104775</xdr:rowOff>
              </from>
              <to>
                <xdr:col>6</xdr:col>
                <xdr:colOff>714375</xdr:colOff>
                <xdr:row>28</xdr:row>
                <xdr:rowOff>66675</xdr:rowOff>
              </to>
            </anchor>
          </objectPr>
        </oleObject>
      </mc:Choice>
      <mc:Fallback>
        <oleObject progId="Equation.3" shapeId="3075" r:id="rId8"/>
      </mc:Fallback>
    </mc:AlternateContent>
    <mc:AlternateContent xmlns:mc="http://schemas.openxmlformats.org/markup-compatibility/2006">
      <mc:Choice Requires="x14">
        <oleObject progId="Equation.3" shapeId="3076" r:id="rId10">
          <objectPr defaultSize="0" r:id="rId11">
            <anchor moveWithCells="1" sizeWithCells="1">
              <from>
                <xdr:col>1</xdr:col>
                <xdr:colOff>104775</xdr:colOff>
                <xdr:row>30</xdr:row>
                <xdr:rowOff>142875</xdr:rowOff>
              </from>
              <to>
                <xdr:col>2</xdr:col>
                <xdr:colOff>457200</xdr:colOff>
                <xdr:row>33</xdr:row>
                <xdr:rowOff>28575</xdr:rowOff>
              </to>
            </anchor>
          </objectPr>
        </oleObject>
      </mc:Choice>
      <mc:Fallback>
        <oleObject progId="Equation.3" shapeId="3076" r:id="rId10"/>
      </mc:Fallback>
    </mc:AlternateContent>
    <mc:AlternateContent xmlns:mc="http://schemas.openxmlformats.org/markup-compatibility/2006">
      <mc:Choice Requires="x14">
        <oleObject progId="Equation.3" shapeId="3077" r:id="rId12">
          <objectPr defaultSize="0" autoPict="0" r:id="rId13">
            <anchor moveWithCells="1" sizeWithCells="1">
              <from>
                <xdr:col>1</xdr:col>
                <xdr:colOff>66675</xdr:colOff>
                <xdr:row>37</xdr:row>
                <xdr:rowOff>142875</xdr:rowOff>
              </from>
              <to>
                <xdr:col>2</xdr:col>
                <xdr:colOff>428625</xdr:colOff>
                <xdr:row>40</xdr:row>
                <xdr:rowOff>28575</xdr:rowOff>
              </to>
            </anchor>
          </objectPr>
        </oleObject>
      </mc:Choice>
      <mc:Fallback>
        <oleObject progId="Equation.3" shapeId="3077" r:id="rId12"/>
      </mc:Fallback>
    </mc:AlternateContent>
    <mc:AlternateContent xmlns:mc="http://schemas.openxmlformats.org/markup-compatibility/2006">
      <mc:Choice Requires="x14">
        <oleObject progId="Equation.3" shapeId="3078" r:id="rId14">
          <objectPr defaultSize="0" autoPict="0" r:id="rId15">
            <anchor moveWithCells="1" sizeWithCells="1">
              <from>
                <xdr:col>1</xdr:col>
                <xdr:colOff>104775</xdr:colOff>
                <xdr:row>20</xdr:row>
                <xdr:rowOff>47625</xdr:rowOff>
              </from>
              <to>
                <xdr:col>2</xdr:col>
                <xdr:colOff>714375</xdr:colOff>
                <xdr:row>22</xdr:row>
                <xdr:rowOff>66675</xdr:rowOff>
              </to>
            </anchor>
          </objectPr>
        </oleObject>
      </mc:Choice>
      <mc:Fallback>
        <oleObject progId="Equation.3" shapeId="3078" r:id="rId14"/>
      </mc:Fallback>
    </mc:AlternateContent>
    <mc:AlternateContent xmlns:mc="http://schemas.openxmlformats.org/markup-compatibility/2006">
      <mc:Choice Requires="x14">
        <oleObject progId="Equation.3" shapeId="3079" r:id="rId16">
          <objectPr defaultSize="0" autoPict="0" r:id="rId17">
            <anchor moveWithCells="1" sizeWithCells="1">
              <from>
                <xdr:col>5</xdr:col>
                <xdr:colOff>28575</xdr:colOff>
                <xdr:row>13</xdr:row>
                <xdr:rowOff>0</xdr:rowOff>
              </from>
              <to>
                <xdr:col>7</xdr:col>
                <xdr:colOff>200025</xdr:colOff>
                <xdr:row>16</xdr:row>
                <xdr:rowOff>104775</xdr:rowOff>
              </to>
            </anchor>
          </objectPr>
        </oleObject>
      </mc:Choice>
      <mc:Fallback>
        <oleObject progId="Equation.3" shapeId="3079" r:id="rId16"/>
      </mc:Fallback>
    </mc:AlternateContent>
    <mc:AlternateContent xmlns:mc="http://schemas.openxmlformats.org/markup-compatibility/2006">
      <mc:Choice Requires="x14">
        <oleObject progId="Equation.3" shapeId="3080" r:id="rId18">
          <objectPr defaultSize="0" r:id="rId19">
            <anchor moveWithCells="1" sizeWithCells="1">
              <from>
                <xdr:col>4</xdr:col>
                <xdr:colOff>28575</xdr:colOff>
                <xdr:row>37</xdr:row>
                <xdr:rowOff>123825</xdr:rowOff>
              </from>
              <to>
                <xdr:col>6</xdr:col>
                <xdr:colOff>276225</xdr:colOff>
                <xdr:row>40</xdr:row>
                <xdr:rowOff>9525</xdr:rowOff>
              </to>
            </anchor>
          </objectPr>
        </oleObject>
      </mc:Choice>
      <mc:Fallback>
        <oleObject progId="Equation.3" shapeId="3080" r:id="rId18"/>
      </mc:Fallback>
    </mc:AlternateContent>
    <mc:AlternateContent xmlns:mc="http://schemas.openxmlformats.org/markup-compatibility/2006">
      <mc:Choice Requires="x14">
        <oleObject progId="Equation.3" shapeId="3081" r:id="rId20">
          <objectPr defaultSize="0" r:id="rId21">
            <anchor moveWithCells="1" sizeWithCells="1">
              <from>
                <xdr:col>4</xdr:col>
                <xdr:colOff>28575</xdr:colOff>
                <xdr:row>30</xdr:row>
                <xdr:rowOff>85725</xdr:rowOff>
              </from>
              <to>
                <xdr:col>8</xdr:col>
                <xdr:colOff>752475</xdr:colOff>
                <xdr:row>34</xdr:row>
                <xdr:rowOff>85725</xdr:rowOff>
              </to>
            </anchor>
          </objectPr>
        </oleObject>
      </mc:Choice>
      <mc:Fallback>
        <oleObject progId="Equation.3" shapeId="3081" r:id="rId2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Simulador</vt:lpstr>
      <vt:lpstr>Formulas</vt:lpstr>
      <vt:lpstr>Formulas!Área_de_impresión</vt:lpstr>
      <vt:lpstr>Simulador!Área_de_impresión</vt:lpstr>
      <vt:lpstr>EnvioFisico</vt:lpstr>
    </vt:vector>
  </TitlesOfParts>
  <Company>Banco de Comercio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LNunez</dc:creator>
  <cp:lastModifiedBy>Augusto Guillermo Chavez Arana</cp:lastModifiedBy>
  <cp:lastPrinted>2019-06-12T15:55:48Z</cp:lastPrinted>
  <dcterms:created xsi:type="dcterms:W3CDTF">2006-06-27T20:09:38Z</dcterms:created>
  <dcterms:modified xsi:type="dcterms:W3CDTF">2023-01-03T01:27:55Z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b88ec2-a72b-4523-9e84-0458a1764731_Enabled">
    <vt:lpwstr>true</vt:lpwstr>
  </property>
  <property fmtid="{D5CDD505-2E9C-101B-9397-08002B2CF9AE}" pid="3" name="MSIP_Label_41b88ec2-a72b-4523-9e84-0458a1764731_SetDate">
    <vt:lpwstr>2023-01-02T15:27:28Z</vt:lpwstr>
  </property>
  <property fmtid="{D5CDD505-2E9C-101B-9397-08002B2CF9AE}" pid="4" name="MSIP_Label_41b88ec2-a72b-4523-9e84-0458a1764731_Method">
    <vt:lpwstr>Privileged</vt:lpwstr>
  </property>
  <property fmtid="{D5CDD505-2E9C-101B-9397-08002B2CF9AE}" pid="5" name="MSIP_Label_41b88ec2-a72b-4523-9e84-0458a1764731_Name">
    <vt:lpwstr>Public O365</vt:lpwstr>
  </property>
  <property fmtid="{D5CDD505-2E9C-101B-9397-08002B2CF9AE}" pid="6" name="MSIP_Label_41b88ec2-a72b-4523-9e84-0458a1764731_SiteId">
    <vt:lpwstr>35595a02-4d6d-44ac-99e1-f9ab4cd872db</vt:lpwstr>
  </property>
  <property fmtid="{D5CDD505-2E9C-101B-9397-08002B2CF9AE}" pid="7" name="MSIP_Label_41b88ec2-a72b-4523-9e84-0458a1764731_ActionId">
    <vt:lpwstr>2804186b-1ece-42f6-8cf6-9c282aa1d301</vt:lpwstr>
  </property>
  <property fmtid="{D5CDD505-2E9C-101B-9397-08002B2CF9AE}" pid="8" name="MSIP_Label_41b88ec2-a72b-4523-9e84-0458a1764731_ContentBits">
    <vt:lpwstr>0</vt:lpwstr>
  </property>
</Properties>
</file>